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1"/>
  </bookViews>
  <sheets>
    <sheet name="КОНСОЛИДАЦИЯ ОФП" sheetId="7" r:id="rId1"/>
    <sheet name="Вопрос 2" sheetId="12" r:id="rId2"/>
    <sheet name="Вопрос 3" sheetId="13" r:id="rId3"/>
    <sheet name="Вопрос 4" sheetId="14" r:id="rId4"/>
  </sheets>
  <calcPr calcId="125725"/>
</workbook>
</file>

<file path=xl/calcChain.xml><?xml version="1.0" encoding="utf-8"?>
<calcChain xmlns="http://schemas.openxmlformats.org/spreadsheetml/2006/main">
  <c r="F88" i="13"/>
  <c r="H87"/>
  <c r="F86"/>
  <c r="F85"/>
  <c r="F68"/>
  <c r="F67"/>
  <c r="F66"/>
  <c r="D44"/>
  <c r="F68" i="12"/>
  <c r="F67"/>
  <c r="F66"/>
  <c r="E12"/>
  <c r="A46" s="1"/>
  <c r="G35" i="7"/>
  <c r="D131"/>
  <c r="D130"/>
  <c r="D140"/>
  <c r="D139"/>
  <c r="D128"/>
  <c r="C133" s="1"/>
  <c r="D125"/>
  <c r="D102" s="1"/>
  <c r="D124"/>
  <c r="D123"/>
  <c r="C134"/>
  <c r="E130"/>
  <c r="D101"/>
  <c r="D100"/>
  <c r="E118"/>
  <c r="G34"/>
  <c r="F34"/>
  <c r="F28"/>
  <c r="F159"/>
  <c r="F157"/>
  <c r="D159"/>
  <c r="D158"/>
  <c r="D71" i="13"/>
  <c r="D45"/>
  <c r="H50" s="1"/>
  <c r="G38" i="12"/>
  <c r="G39" s="1"/>
  <c r="F58"/>
  <c r="F59" s="1"/>
  <c r="D157" i="7"/>
  <c r="G28"/>
  <c r="D154"/>
  <c r="D104"/>
  <c r="F16"/>
  <c r="F15"/>
  <c r="D119"/>
  <c r="D118"/>
  <c r="D113"/>
  <c r="F8"/>
  <c r="D148"/>
  <c r="D150" s="1"/>
  <c r="F10" s="1"/>
  <c r="D147"/>
  <c r="E43"/>
  <c r="D42"/>
  <c r="D45" s="1"/>
  <c r="D97"/>
  <c r="D96"/>
  <c r="B72" i="13" l="1"/>
  <c r="D72" s="1"/>
  <c r="B73" s="1"/>
  <c r="D73" s="1"/>
  <c r="L63" i="12"/>
  <c r="L64" s="1"/>
  <c r="B51"/>
  <c r="D81" s="1"/>
  <c r="G43"/>
  <c r="C135" i="7"/>
  <c r="D132" s="1"/>
  <c r="D120"/>
  <c r="D106"/>
  <c r="D122"/>
  <c r="H49" i="13"/>
  <c r="J53" s="1"/>
  <c r="D155" i="7"/>
  <c r="D105" s="1"/>
  <c r="D99"/>
  <c r="I75" i="13" l="1"/>
  <c r="D54" i="12"/>
  <c r="L54" i="13"/>
  <c r="H56"/>
  <c r="D156" i="7"/>
  <c r="C77" i="13" l="1"/>
  <c r="D64" i="7"/>
  <c r="E64" s="1"/>
  <c r="D63"/>
  <c r="E63" s="1"/>
  <c r="E59"/>
  <c r="E60"/>
  <c r="F7" l="1"/>
  <c r="D59"/>
  <c r="F59" s="1"/>
  <c r="D77"/>
  <c r="D87" s="1"/>
  <c r="E42"/>
  <c r="G32"/>
  <c r="G15"/>
  <c r="F20"/>
  <c r="G20" s="1"/>
  <c r="F14"/>
  <c r="G14" s="1"/>
  <c r="G7"/>
  <c r="G26"/>
  <c r="D53"/>
  <c r="D76" s="1"/>
  <c r="D61"/>
  <c r="G33"/>
  <c r="G16"/>
  <c r="G8"/>
  <c r="G10"/>
  <c r="F60"/>
  <c r="E35"/>
  <c r="D35"/>
  <c r="E29"/>
  <c r="D29"/>
  <c r="E23"/>
  <c r="D23"/>
  <c r="E17"/>
  <c r="D17"/>
  <c r="E12"/>
  <c r="D12"/>
  <c r="F61" l="1"/>
  <c r="F64"/>
  <c r="E37"/>
  <c r="E61"/>
  <c r="E65"/>
  <c r="E66" s="1"/>
  <c r="F27" s="1"/>
  <c r="D65"/>
  <c r="D66" s="1"/>
  <c r="F63"/>
  <c r="G17"/>
  <c r="E18"/>
  <c r="D37"/>
  <c r="D18"/>
  <c r="F65" l="1"/>
  <c r="D67"/>
  <c r="D78" s="1"/>
  <c r="D79" s="1"/>
  <c r="D80" s="1"/>
  <c r="G27"/>
  <c r="G29" s="1"/>
  <c r="E67"/>
  <c r="E38"/>
  <c r="D38"/>
  <c r="F11" l="1"/>
  <c r="G11" s="1"/>
  <c r="G12" s="1"/>
  <c r="G18" s="1"/>
  <c r="F66"/>
  <c r="F67" s="1"/>
  <c r="D88" s="1"/>
  <c r="D89" l="1"/>
  <c r="F22" s="1"/>
  <c r="G22" s="1"/>
  <c r="G67"/>
  <c r="D98" s="1"/>
  <c r="D108" l="1"/>
  <c r="G21" l="1"/>
  <c r="G23" s="1"/>
  <c r="G37" s="1"/>
  <c r="G38" s="1"/>
</calcChain>
</file>

<file path=xl/sharedStrings.xml><?xml version="1.0" encoding="utf-8"?>
<sst xmlns="http://schemas.openxmlformats.org/spreadsheetml/2006/main" count="309" uniqueCount="286">
  <si>
    <t>Показатель</t>
  </si>
  <si>
    <t>Сумма</t>
  </si>
  <si>
    <t>Пояснения</t>
  </si>
  <si>
    <t>Итого</t>
  </si>
  <si>
    <t>Расчет 1 "Определение стоимости инвестиции"</t>
  </si>
  <si>
    <t>Наименование статей</t>
  </si>
  <si>
    <t>Гудвилл</t>
  </si>
  <si>
    <t>Баланс</t>
  </si>
  <si>
    <t>Собственный капитал и обязательства</t>
  </si>
  <si>
    <t>Нераспределенная прибыль</t>
  </si>
  <si>
    <t>Доля неконтролирующих акционеров</t>
  </si>
  <si>
    <t>Неконтролирующая доля</t>
  </si>
  <si>
    <t>Корректировки</t>
  </si>
  <si>
    <t>Акционерный капитал</t>
  </si>
  <si>
    <t>Стоимость инвестиции</t>
  </si>
  <si>
    <t>ЧА ДК на дату приобретения</t>
  </si>
  <si>
    <t>Гудвилл на дату приобретения</t>
  </si>
  <si>
    <t>Гудвилл на дату отчетности</t>
  </si>
  <si>
    <t>Отклонение</t>
  </si>
  <si>
    <t>п.2 минус п.1</t>
  </si>
  <si>
    <t>Расчет 3 "Расчет гудвилла"</t>
  </si>
  <si>
    <t>из Расчет 2</t>
  </si>
  <si>
    <r>
      <t xml:space="preserve">Расчёт </t>
    </r>
    <r>
      <rPr>
        <b/>
        <sz val="12"/>
        <color rgb="FFFF0000"/>
        <rFont val="Times New Roman"/>
        <family val="1"/>
        <charset val="204"/>
      </rPr>
      <t>групповой нераспределённой прибыли</t>
    </r>
  </si>
  <si>
    <t>НП МК из индив.отчетности</t>
  </si>
  <si>
    <t>ИТОГО</t>
  </si>
  <si>
    <t xml:space="preserve">Нераспред.прибыль (НП) </t>
  </si>
  <si>
    <t>Неконтролирующая доля на дату приобретения</t>
  </si>
  <si>
    <t>Изменение неконтролирующей доли с даты приобретения до отчетной даты</t>
  </si>
  <si>
    <t>Неконтролирующая доля на дату отчетности</t>
  </si>
  <si>
    <t>Вопрос 1</t>
  </si>
  <si>
    <t>Внеоборотные активы</t>
  </si>
  <si>
    <t>Основные средства</t>
  </si>
  <si>
    <t>Инвестиции:</t>
  </si>
  <si>
    <t>Альфа</t>
  </si>
  <si>
    <t>Бетта</t>
  </si>
  <si>
    <t>Консолидированный ОФП (Альфа+Бетта+корректировки)</t>
  </si>
  <si>
    <t xml:space="preserve">Инвестиции в Бетта </t>
  </si>
  <si>
    <t>Оборотные активы</t>
  </si>
  <si>
    <t>Запасы</t>
  </si>
  <si>
    <t>Дебиторская задолженность</t>
  </si>
  <si>
    <t>Денежные средства и их эквиваленты</t>
  </si>
  <si>
    <t>Долгосрочные обязательства</t>
  </si>
  <si>
    <t>Долгосрочные заимствования</t>
  </si>
  <si>
    <t>Отложенный налог</t>
  </si>
  <si>
    <t>Итого внеоборотные активы</t>
  </si>
  <si>
    <t>Итого оборотные активы</t>
  </si>
  <si>
    <t>ИТОГО АКТИВЫ</t>
  </si>
  <si>
    <t>Итого Собственный капитал</t>
  </si>
  <si>
    <t>Итого долгосрочные обязательства</t>
  </si>
  <si>
    <t>Краткосрочные обязательства</t>
  </si>
  <si>
    <t>Кредиторская задолженность по основной деятельности и прочая КЗ</t>
  </si>
  <si>
    <t>Краткосрочные заимствования</t>
  </si>
  <si>
    <t>Итого краткосрочные обязательства</t>
  </si>
  <si>
    <t>ИТОГО ОБЯЗАТЕЛЬСТВА И КАПИТАЛ</t>
  </si>
  <si>
    <t>Гамма</t>
  </si>
  <si>
    <t>Доля в прибыли Гамма</t>
  </si>
  <si>
    <t>доля прироста прибыли Бетта  с учетом корректировок (справедливая стоимость)</t>
  </si>
  <si>
    <t>Итого до  корректировок</t>
  </si>
  <si>
    <t>Корректировки до справедливой стоимости</t>
  </si>
  <si>
    <r>
      <t xml:space="preserve">Расчёт </t>
    </r>
    <r>
      <rPr>
        <b/>
        <sz val="12"/>
        <color rgb="FFFF0000"/>
        <rFont val="Times New Roman"/>
        <family val="1"/>
        <charset val="204"/>
      </rPr>
      <t>чистых активов</t>
    </r>
    <r>
      <rPr>
        <sz val="12"/>
        <color rgb="FFFF0000"/>
        <rFont val="Times New Roman"/>
        <family val="1"/>
        <charset val="204"/>
      </rPr>
      <t xml:space="preserve"> "Бетта" на</t>
    </r>
    <r>
      <rPr>
        <sz val="12"/>
        <rFont val="Times New Roman"/>
        <family val="1"/>
        <charset val="204"/>
      </rPr>
      <t>:</t>
    </r>
  </si>
  <si>
    <t xml:space="preserve">недвижимость </t>
  </si>
  <si>
    <t>машины и оборудование</t>
  </si>
  <si>
    <t>Гудвилл на дату приобретения минус обесценение</t>
  </si>
  <si>
    <t>Пред.Итог корректировок</t>
  </si>
  <si>
    <t>Отложенный налог (20%)</t>
  </si>
  <si>
    <t>Итого ЧА с учетом корректировок</t>
  </si>
  <si>
    <t>НРП</t>
  </si>
  <si>
    <t>Нереализованная прибыль в запасах:</t>
  </si>
  <si>
    <t>Расчет 8</t>
  </si>
  <si>
    <t>Расчет 5  "Расчет НРП Группы"</t>
  </si>
  <si>
    <t>Расчет 4 Неконтролирующая доля"</t>
  </si>
  <si>
    <t>из расчета 3</t>
  </si>
  <si>
    <t>Расчет 2 "Расчет ЧА "Бетта"</t>
  </si>
  <si>
    <t>Дт НРП Группы Кт Запасы</t>
  </si>
  <si>
    <t>Прибыль</t>
  </si>
  <si>
    <t>расчет 3</t>
  </si>
  <si>
    <t>Консолидированный отчет о финансовом положении Группы Альфа на 30.09.2018</t>
  </si>
  <si>
    <t>Альфа- МК</t>
  </si>
  <si>
    <t>сумма инвестиции</t>
  </si>
  <si>
    <t>дата приобретения компании</t>
  </si>
  <si>
    <t>Процент владения:</t>
  </si>
  <si>
    <t>Дельта</t>
  </si>
  <si>
    <t>ДК</t>
  </si>
  <si>
    <t>7 лет назад</t>
  </si>
  <si>
    <t>Отложенный платеж</t>
  </si>
  <si>
    <t>ст-ть компенсации на 01.10.2011(из условия)</t>
  </si>
  <si>
    <t>Денежные средства</t>
  </si>
  <si>
    <t>Расходы по приобретению компании</t>
  </si>
  <si>
    <t>сторнируем из стоимости инвестиции и относим на НРП</t>
  </si>
  <si>
    <t>Итого в балансе по статье Инвестиции</t>
  </si>
  <si>
    <t>идет в расчет НРП</t>
  </si>
  <si>
    <t>изменение ЧА*35%</t>
  </si>
  <si>
    <t xml:space="preserve">НД на н.п. плюс изменение НД за период </t>
  </si>
  <si>
    <t>Сторно расходов по приобретению Бетта из стоимости инвестиций</t>
  </si>
  <si>
    <t>убираем эти расходы т.к. они не включаются в стоимость инвестиции а сразу относятся на расходы по правилам МСФО</t>
  </si>
  <si>
    <t>145200*0,826</t>
  </si>
  <si>
    <t>округлили до 120 млн</t>
  </si>
  <si>
    <t>Дт НРП Кт Инвестиция</t>
  </si>
  <si>
    <t>Расчет 6 "Инвестиция в Дельта "</t>
  </si>
  <si>
    <t xml:space="preserve">продажа ДК </t>
  </si>
  <si>
    <t>Инвестиции в ассоциированную компанию</t>
  </si>
  <si>
    <t>Расчет 7 "Инвестиция в ассоциированную компанию"</t>
  </si>
  <si>
    <t xml:space="preserve">себестоимость инвестиции </t>
  </si>
  <si>
    <t xml:space="preserve">доля в приращении прибылей и убытков с даты приобретения, </t>
  </si>
  <si>
    <r>
      <t xml:space="preserve">скорректированная на исключение нереализованной прибыли по операциям в сумме соответствующей доле инвестора </t>
    </r>
    <r>
      <rPr>
        <b/>
        <sz val="8"/>
        <color rgb="FF000000"/>
        <rFont val="Arial"/>
        <family val="2"/>
        <charset val="204"/>
      </rPr>
      <t xml:space="preserve"> </t>
    </r>
  </si>
  <si>
    <t xml:space="preserve">Инвестиция в ассоциированную компанию отражается с использованием метода «долевого участия»: </t>
  </si>
  <si>
    <t>расчет 7</t>
  </si>
  <si>
    <t>сумма инвестиций</t>
  </si>
  <si>
    <t xml:space="preserve">доля </t>
  </si>
  <si>
    <t>дата покупки</t>
  </si>
  <si>
    <t>дата выбытия</t>
  </si>
  <si>
    <t>дата отчетности</t>
  </si>
  <si>
    <t xml:space="preserve">ЧА </t>
  </si>
  <si>
    <t>на дату покупки</t>
  </si>
  <si>
    <t>на дату выбытия</t>
  </si>
  <si>
    <t>Доля НДУ</t>
  </si>
  <si>
    <t>НДУ на дату выбытия</t>
  </si>
  <si>
    <t>Финансовый результат от выбытия ДК</t>
  </si>
  <si>
    <t>сумма продажи</t>
  </si>
  <si>
    <t>прибыль должна скорректировать фин. Результат</t>
  </si>
  <si>
    <t>финансовый результат от выбытия ДК</t>
  </si>
  <si>
    <t>выручка*25/125</t>
  </si>
  <si>
    <t>АК</t>
  </si>
  <si>
    <t>Расход по амортизации арендованного актива</t>
  </si>
  <si>
    <t>Начисление процентов по обязательству аренды</t>
  </si>
  <si>
    <t>Актив в форме права пользования на 01.10.2017</t>
  </si>
  <si>
    <t>Актив в форме права пользования на 30.09.2018</t>
  </si>
  <si>
    <t>амортизация актива в отчетном периоде</t>
  </si>
  <si>
    <t>срок аренды 10 лет</t>
  </si>
  <si>
    <t>расчет 8</t>
  </si>
  <si>
    <t>Балансовая стоимость обязательства по аренде на 30.09.2018</t>
  </si>
  <si>
    <t>Сумма обязательства нарастает на сумму начисляемых % по ставке подразумеваемой в договоре аренды</t>
  </si>
  <si>
    <t>корректирует НРП</t>
  </si>
  <si>
    <t xml:space="preserve">с учетом прямых затрат </t>
  </si>
  <si>
    <t>Обязательство по аренде</t>
  </si>
  <si>
    <t>ответ на вопрос 3а</t>
  </si>
  <si>
    <t>(a) Покупка оборудования</t>
  </si>
  <si>
    <t>дата покупки оборудования</t>
  </si>
  <si>
    <t>Стоимость оборудования согласно контрактной цены</t>
  </si>
  <si>
    <t>франков</t>
  </si>
  <si>
    <t>уплата 31.07.2018</t>
  </si>
  <si>
    <t>т.к. валюта отчетности Эпсилон - доллары, то для пересчета данной операции в валюту отчетности мы будем руководствоваться правилами IAS 21</t>
  </si>
  <si>
    <t>в индивидуальной отчетность валютные операции учитываются на дату совершения операции по текущему курсу спот на дату сделки</t>
  </si>
  <si>
    <t>на дату отчетности все монетарные статьи будут пересчитаны по курсу на дату отчетности с отнесением курсовых разниц на прибыль/убыток за период</t>
  </si>
  <si>
    <t>долларов</t>
  </si>
  <si>
    <t>Амортизация оборудования</t>
  </si>
  <si>
    <t>(первоначальная стоимость за минусом остаточной стоимости )/срок полезного использования</t>
  </si>
  <si>
    <t>СПИ - 5 лет</t>
  </si>
  <si>
    <t>Задолженность перед поставщиком в франках</t>
  </si>
  <si>
    <t>Задолженность перед поставщиком в долларах</t>
  </si>
  <si>
    <t>(b) Вывод из эксплуатации</t>
  </si>
  <si>
    <t xml:space="preserve">Данное ценочное обязательсво будет признано в составе долгосрочных обязательств в ОФП </t>
  </si>
  <si>
    <t>С течением времени приведенная стоимость обязательства "раскручивается" (увеличивается) на сумму процентов, которые отражаются в составе прибыли/убытка за период</t>
  </si>
  <si>
    <t>Рассчитаем стоимость обязательства на дату приобретения ОС</t>
  </si>
  <si>
    <t>эта сумма включается в перв.стоимость ОС</t>
  </si>
  <si>
    <t>Прововодка:</t>
  </si>
  <si>
    <t>Дт. ОС Кт Долгосрочные обязательства по выводу из эксплуатации</t>
  </si>
  <si>
    <t>Финансовые расходы по отражению дисконта по долгосрочному обязательству на вывод из эксплуатации оборудования:</t>
  </si>
  <si>
    <t>Долгосрочное обязательство в ОФП на 30.09.2018</t>
  </si>
  <si>
    <t>(c) Проверка на обесценение</t>
  </si>
  <si>
    <t>На каждую отчетную дату компания обязана в соответствии с требованиями МСФО 36 при наличии признаков обесценения проводить тест на обесценения активов</t>
  </si>
  <si>
    <t xml:space="preserve">Для проверки на обесценение компания расчитывает возмещаемую стоимость и сравнивает ее с балансовой стоиомстью на дату отчетности. В случае если возмещаемая стоимость ниже балансовой, то тогда отражается убыток от обесценения </t>
  </si>
  <si>
    <t>Возмещаемая стоимость:</t>
  </si>
  <si>
    <t>Балансовая стоимость на 30.09.2018</t>
  </si>
  <si>
    <t>Т.к. балансовая стоимость ниже возмещаемой то убытка от обесценения не возникает</t>
  </si>
  <si>
    <t>это наибольшая из ценности использования или справедливая стоимость за вычетом расходов на продажу</t>
  </si>
  <si>
    <r>
      <t xml:space="preserve">Если имущество периодически </t>
    </r>
    <r>
      <rPr>
        <b/>
        <sz val="10"/>
        <rFont val="Corbel"/>
        <family val="2"/>
        <charset val="204"/>
      </rPr>
      <t>переоценивается</t>
    </r>
    <r>
      <rPr>
        <sz val="10"/>
        <rFont val="Corbel"/>
        <family val="2"/>
        <charset val="204"/>
      </rPr>
      <t xml:space="preserve">, то </t>
    </r>
    <r>
      <rPr>
        <b/>
        <sz val="10"/>
        <rFont val="Corbel"/>
        <family val="2"/>
        <charset val="204"/>
      </rPr>
      <t>обесценение</t>
    </r>
    <r>
      <rPr>
        <sz val="10"/>
        <rFont val="Corbel"/>
        <family val="2"/>
        <charset val="204"/>
      </rPr>
      <t xml:space="preserve"> относится в первую очередь на </t>
    </r>
    <r>
      <rPr>
        <b/>
        <sz val="10"/>
        <rFont val="Corbel"/>
        <family val="2"/>
        <charset val="204"/>
      </rPr>
      <t>уменьшение</t>
    </r>
    <r>
      <rPr>
        <sz val="10"/>
        <rFont val="Corbel"/>
        <family val="2"/>
        <charset val="204"/>
      </rPr>
      <t xml:space="preserve"> фонда  п</t>
    </r>
    <r>
      <rPr>
        <b/>
        <sz val="10"/>
        <rFont val="Corbel"/>
        <family val="2"/>
        <charset val="204"/>
      </rPr>
      <t>ереоценки</t>
    </r>
    <r>
      <rPr>
        <sz val="10"/>
        <rFont val="Corbel"/>
        <family val="2"/>
        <charset val="204"/>
      </rPr>
      <t xml:space="preserve"> основных средств</t>
    </r>
  </si>
  <si>
    <r>
      <t xml:space="preserve">Признание убытка от обесценения актива влечет </t>
    </r>
    <r>
      <rPr>
        <b/>
        <sz val="9"/>
        <rFont val="Corbel"/>
        <family val="2"/>
        <charset val="204"/>
      </rPr>
      <t>корректировку амортизационных отчислений</t>
    </r>
    <r>
      <rPr>
        <sz val="9"/>
        <rFont val="Corbel"/>
        <family val="2"/>
        <charset val="204"/>
      </rPr>
      <t xml:space="preserve"> в будущих периодах для погашения на систематической основе остаточной стоимости актива в течение </t>
    </r>
    <r>
      <rPr>
        <b/>
        <sz val="9"/>
        <rFont val="Corbel"/>
        <family val="2"/>
        <charset val="204"/>
      </rPr>
      <t>оставшегося срока</t>
    </r>
    <r>
      <rPr>
        <sz val="9"/>
        <rFont val="Corbel"/>
        <family val="2"/>
        <charset val="204"/>
      </rPr>
      <t xml:space="preserve"> полезного использования</t>
    </r>
  </si>
  <si>
    <t>Прибыль на акцию</t>
  </si>
  <si>
    <t>Прибыль – чистая прибыль после выплаты дивидендов по привилегированным акциям, т.е прибыль, подлежащая распределению между акционерами обыкновенных акций и без учета прибыли, приходящейся на неконтролирующую долю.</t>
  </si>
  <si>
    <t>Примерами потенциальных обыкновенных акций могут служить:</t>
  </si>
  <si>
    <t xml:space="preserve">     (a)  финансовые  обязательства  или  долевые  инструменты,   включая</t>
  </si>
  <si>
    <t>привилегированные акции, конвертируемые в обыкновенные акции;</t>
  </si>
  <si>
    <t xml:space="preserve">     (b) опционы и варранты;</t>
  </si>
  <si>
    <t xml:space="preserve">     (c) акции, подлежащие  выпуску  в  случае  выполнения   определенных</t>
  </si>
  <si>
    <t>условий, оговоренных в положении договора, например, подлежащие   выпуску</t>
  </si>
  <si>
    <t>при условии покупки бизнеса или других активов.</t>
  </si>
  <si>
    <t>Потенциальная обыкновенная акция - это финансовый инструмент или другой договор, который может предоставлять его владельцу право обменять его на обыкновенные акции.</t>
  </si>
  <si>
    <t>Два примера потенциальных обыкновенных акций</t>
  </si>
  <si>
    <t>привилегированные акции, конвертируемые в обыкновенные акции</t>
  </si>
  <si>
    <t>опционы</t>
  </si>
  <si>
    <t>3 а</t>
  </si>
  <si>
    <t>Объясните значение термина ‘потенциальные обыкновенные акции’ и приведите ДВА примера кроме конвертируемого займа</t>
  </si>
  <si>
    <t>Ответ:</t>
  </si>
  <si>
    <t>3b</t>
  </si>
  <si>
    <t>Разводненная прибыль на акцию - это прибыль на акцию с учетом финансовых инструментов с потенциальным разводняющим эффектом</t>
  </si>
  <si>
    <t>Для расчета пониженной прибыли на акцию рассчитывается новое значение прибыли и новое значение средневзвешенного количества акций с учетом всех инструментов с потенциально разводняющим эффектом</t>
  </si>
  <si>
    <t>Для расчета нового значения прибыли: прибыль используемая в расчете базовой прибыли на акцию корректируется с учетом посленалогового влияния конвертации инструментов с понижающим эффектом в обыкновенные акции</t>
  </si>
  <si>
    <t>Также корректируется средневзвешенное значение акций на количество акций которые были бы выпущены в случае конвертации таких инструментов</t>
  </si>
  <si>
    <t>3с</t>
  </si>
  <si>
    <t>Для их учета необходимо расчитать долевой и долговой компонент данного инструмента. Долевой компонент отражается в составе обязательств. Долевой - в составе капитала</t>
  </si>
  <si>
    <t>Долговой компонент на 01.10.2016</t>
  </si>
  <si>
    <t>Долевой компонент на 01.10.2016</t>
  </si>
  <si>
    <t>Проводки на 01.10.2016</t>
  </si>
  <si>
    <t>Дт Денежные средства</t>
  </si>
  <si>
    <t>Кт Долгосрочные обязательства по конвертируемым облигациям</t>
  </si>
  <si>
    <t>Кт Долевой компонент конвертируемых облигаций</t>
  </si>
  <si>
    <t>В дальнейшем после первоначального признания конверируемой облигации необходимо начислять процентные расходы на долговой компонент обязательства</t>
  </si>
  <si>
    <t>Таким образом на 01.10.2017 сумма долгового компонента отраженная в ОФП составит</t>
  </si>
  <si>
    <t>Сумма долгового компонента обязательства на 30.09.2018 составит</t>
  </si>
  <si>
    <t>d)</t>
  </si>
  <si>
    <t>прибыль/на средневзвешенное количество акций за период</t>
  </si>
  <si>
    <t>чистая прибыль после выплаты дивидендов по привилегированным акциям, т.е прибыль, подлежащая распределению между акционерами обыкновенных акций и без учета прибыли, приходящейся на неконтролирующую долю</t>
  </si>
  <si>
    <t>Расчет прибыли для базовой EPS</t>
  </si>
  <si>
    <t>Количество акций в обращении на 30.09.2018</t>
  </si>
  <si>
    <t>Расчет средневзвешенного количества акций в обращении за отчетный период</t>
  </si>
  <si>
    <t>Сальдо на начало года</t>
  </si>
  <si>
    <t>Выпущено акций</t>
  </si>
  <si>
    <t>Итого количество акций в обращении на 30.09.2018</t>
  </si>
  <si>
    <t>3 мес</t>
  </si>
  <si>
    <t>9 мес</t>
  </si>
  <si>
    <t>Базовая EPS</t>
  </si>
  <si>
    <t>Разводненная EPS при конвертации облигаций</t>
  </si>
  <si>
    <t>Прибыль + (Количество конвертируемых облигаций*процент по ним)*(1-ставка налога на прибыль)</t>
  </si>
  <si>
    <t>Количество акций в обращении из расчета базовой EPS+ потенциально выпущенное новое количество акций при наихудшем варианте конвертации облигаций</t>
  </si>
  <si>
    <t>Инвестиционная недвижимость</t>
  </si>
  <si>
    <t xml:space="preserve">собственность предназначена для получения арендной платы или  </t>
  </si>
  <si>
    <t>доходов от прироста стоимости капитала, либо от того и другого</t>
  </si>
  <si>
    <t>Решение о том какой объект основных средств относится к категории ОС или инв.недвижимости зависит от целей использования актива</t>
  </si>
  <si>
    <t>МСФО 40 предусматривает две модели последующего учета объектов инв.недвижимости: по справедливой стоимости без начисления амортизации либо по первоначальной стоимости за минусом амортизации</t>
  </si>
  <si>
    <t>Изменение справедливой стоимости инвестиционной недвижимости отражается в составе прибылей и убытков</t>
  </si>
  <si>
    <t>К объектам ОС учитываемым по модели переоцененной стоимости применяется правило что изменение стоимости относится в ПСД(как резерв переоценки)</t>
  </si>
  <si>
    <t>Вопрос 2</t>
  </si>
  <si>
    <t>Вопрос 3</t>
  </si>
  <si>
    <t>показываем активах в консолидированном балансе</t>
  </si>
  <si>
    <t>УК Альфа</t>
  </si>
  <si>
    <t>расчет 5</t>
  </si>
  <si>
    <t>может быть отражен в составе ОС</t>
  </si>
  <si>
    <t>Балансовая стоимость обязательства по аренде на 01.10.2017</t>
  </si>
  <si>
    <t>сторно расходов по аренде</t>
  </si>
  <si>
    <t>краткосрочная часть</t>
  </si>
  <si>
    <t>долгосрочная  часть</t>
  </si>
  <si>
    <t>Сторно финансового результата от выбытия Дельта отраженного в индивидуальной отчетности</t>
  </si>
  <si>
    <t>изменения ЧА Дельта за отчетный период в доле владения</t>
  </si>
  <si>
    <t>Дт ДС</t>
  </si>
  <si>
    <t>Дт НДУ</t>
  </si>
  <si>
    <t>Кт Гудвилл</t>
  </si>
  <si>
    <t>Изменение НДУ за период владения</t>
  </si>
  <si>
    <t>ЧА на дату выбытия</t>
  </si>
  <si>
    <t xml:space="preserve">финансовый результат </t>
  </si>
  <si>
    <t>Кт финансовый результат</t>
  </si>
  <si>
    <t>итого по дебету (до определения ФР)</t>
  </si>
  <si>
    <t>итого по кредиту (до определения ФР)</t>
  </si>
  <si>
    <t>Кт Инвестиция</t>
  </si>
  <si>
    <t>Кт Финансовый результат</t>
  </si>
  <si>
    <t>Кт ЧА на начало отчетного периода</t>
  </si>
  <si>
    <t>Кт измененияЧА за отчетный период</t>
  </si>
  <si>
    <t>В индивидуальной отчетности Альфа</t>
  </si>
  <si>
    <t>данные на начало периода +изменение прибыли пропорциональное времени владения  Дельтой за минусом дивидендов</t>
  </si>
  <si>
    <t>В соответствии с МСФО 16 "Основные средства" оборудование будет введено в эксплуатацию с момента готовности к эксплуатации т.е. с 01 апреля. Расходы по обучению персонала будут отнесены на текущие расходы</t>
  </si>
  <si>
    <t>А также в первоначальную стоимость ОС включается  сумма резерва на вывод из эксплуатации</t>
  </si>
  <si>
    <t xml:space="preserve">В первоначальную стоимость также включаются прямые расходы на установку: </t>
  </si>
  <si>
    <t xml:space="preserve">Дт Основное средство Кт Обязательство </t>
  </si>
  <si>
    <t>Общая сумма затрат включаемых в первоначальную стоимость:</t>
  </si>
  <si>
    <t>В отчетности ОС показываются по балансовой стоимости которая предстваляет собой первоначальную стоимость за минусом накопленной амортизации</t>
  </si>
  <si>
    <t>Амортизация ОС</t>
  </si>
  <si>
    <t>отражается в качестве расходов в ОСД</t>
  </si>
  <si>
    <t>Балансовая стоимость ОС на 30.09.2018:</t>
  </si>
  <si>
    <t>Кредиторская задолженность перед поставщиком оборудования на дату отчетности в соответствии с МСФО 21 будет пересчитана по курсу на дату отчетности, т.к. это монетарная статья</t>
  </si>
  <si>
    <t>Курсовая разница относится на прибыли/убытки в ОСД</t>
  </si>
  <si>
    <t>Если компания Эпсилон имеет оценочное обязательство (т.к. есть обязывающее событие, отток выгод высоко вероятен и сумму обязательства можно надежно оценить) связанное с выводом из эксплуатации купленного ею оборудования то в соответствии с МСФО 37, она обязана создать резерв на дисконтированную стоимость данных затрат и включить эту сумму  в первоначальную стоимость оборудования</t>
  </si>
  <si>
    <t>Резерв под вывод из эксплуатации это монетарная статья тк его погашение предполагает отток денег</t>
  </si>
  <si>
    <t>(средний курс)</t>
  </si>
  <si>
    <t>франки</t>
  </si>
  <si>
    <t>доллары</t>
  </si>
  <si>
    <t>Курсовая разница от пересчета резерва</t>
  </si>
  <si>
    <t>Дт. Прибыли/убытки в ОСД</t>
  </si>
  <si>
    <r>
      <rPr>
        <b/>
        <sz val="11"/>
        <color theme="1"/>
        <rFont val="Calibri"/>
        <family val="2"/>
        <charset val="204"/>
        <scheme val="minor"/>
      </rPr>
      <t>Конвертируемые облигации</t>
    </r>
    <r>
      <rPr>
        <sz val="11"/>
        <color theme="1"/>
        <rFont val="Calibri"/>
        <family val="2"/>
        <charset val="204"/>
        <scheme val="minor"/>
      </rPr>
      <t xml:space="preserve"> - это сложные финансовые инструменты</t>
    </r>
  </si>
  <si>
    <r>
      <rPr>
        <b/>
        <sz val="11"/>
        <color theme="1"/>
        <rFont val="Calibri"/>
        <family val="2"/>
        <charset val="204"/>
        <scheme val="minor"/>
      </rPr>
      <t xml:space="preserve">Долговой компонент </t>
    </r>
    <r>
      <rPr>
        <sz val="11"/>
        <color theme="1"/>
        <rFont val="Calibri"/>
        <family val="2"/>
        <charset val="204"/>
        <scheme val="minor"/>
      </rPr>
      <t xml:space="preserve"> оценивается по дисконтированной стоимости. При этом процентная ставка используется для неконвертируемых обязательств</t>
    </r>
  </si>
  <si>
    <r>
      <rPr>
        <b/>
        <sz val="11"/>
        <color theme="1"/>
        <rFont val="Calibri"/>
        <family val="2"/>
        <charset val="204"/>
        <scheme val="minor"/>
      </rPr>
      <t>Долевой компонент</t>
    </r>
    <r>
      <rPr>
        <sz val="11"/>
        <color theme="1"/>
        <rFont val="Calibri"/>
        <family val="2"/>
        <charset val="204"/>
        <scheme val="minor"/>
      </rPr>
      <t xml:space="preserve"> - общая стоимость обязательства минус долговой компонент</t>
    </r>
  </si>
  <si>
    <r>
      <t>Сумма</t>
    </r>
    <r>
      <rPr>
        <b/>
        <sz val="11"/>
        <color theme="1"/>
        <rFont val="Calibri"/>
        <family val="2"/>
        <charset val="204"/>
        <scheme val="minor"/>
      </rPr>
      <t xml:space="preserve"> процентных расходов </t>
    </r>
    <r>
      <rPr>
        <sz val="11"/>
        <color theme="1"/>
        <rFont val="Calibri"/>
        <family val="2"/>
        <charset val="204"/>
        <scheme val="minor"/>
      </rPr>
      <t>в текущем отчетном периоде отраженная в финансовых расходах в ОСД составит</t>
    </r>
  </si>
  <si>
    <t xml:space="preserve">Базовая прибыль на акцию </t>
  </si>
  <si>
    <t>Дивиденды по привелигерованным акциям</t>
  </si>
  <si>
    <t>Корректировка прибыли при конвертации облигаций</t>
  </si>
  <si>
    <t>Новое значение прибыли для расчета розводненной EPS</t>
  </si>
  <si>
    <t>Новое значение акций в обращении для расчета разводненной EPS</t>
  </si>
  <si>
    <t>Если вероятность получения денежных средств по данному иску достаточно велика то Омега может раскрыть эту информацию в примечаниях к финансовой отчетности. Данный актив будет условным активом в соответствии с МСФО 37, и информация о нем может быть раскрыта в отчетности компании</t>
  </si>
  <si>
    <t xml:space="preserve">В соответствии с принципом скорейшего признания расходов и обязательств чем активов и доходов (принцип осмотрительности), актив в виде денежных средств представляющих собой компенсацию затрат по судебному иску не может быть признан. </t>
  </si>
  <si>
    <t>Ситуацию регулирует IAS 37</t>
  </si>
  <si>
    <t>Иск поставщику - оценочное обязательство, т.к. :</t>
  </si>
  <si>
    <t>есть юридическая обязанность в результате прошлых событий</t>
  </si>
  <si>
    <t>и отток выгод представляется высоко вероятным</t>
  </si>
  <si>
    <t>Ситуацию регулирует IAS 38</t>
  </si>
  <si>
    <t>Стандарт устанавливает разные подходы к определению первоначальной стоимости НМА в зависимости от способа появления НМА в отчетности (внутресозданные и приобретенные)</t>
  </si>
  <si>
    <t>Фирменные наименования можно признавать только в случае сделок по объединению бизнеса в консолидированной отчетности т.к. там появляется возможность надежной оценки</t>
  </si>
  <si>
    <t>В соответствии с правилами IAS 38 фирменное наименование, списки клиентов в индивидуальной отчетности не могут быть признаны т.к. не выполняется критерии признания НМА установленные в стандарте. Фирменные наименования - это то что компания создает в процессе существования организации, но т.к. затраты нельзя разделить на стадии исследования и разработок то данные активы нельзя отражать в отчетности</t>
  </si>
</sst>
</file>

<file path=xl/styles.xml><?xml version="1.0" encoding="utf-8"?>
<styleSheet xmlns="http://schemas.openxmlformats.org/spreadsheetml/2006/main">
  <numFmts count="1">
    <numFmt numFmtId="164" formatCode="#,##0.000"/>
  </numFmts>
  <fonts count="2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9"/>
      <name val="Corbel"/>
      <family val="2"/>
      <charset val="204"/>
    </font>
    <font>
      <b/>
      <sz val="9"/>
      <name val="Corbel"/>
      <family val="2"/>
      <charset val="204"/>
    </font>
    <font>
      <sz val="10"/>
      <name val="Corbel"/>
      <family val="2"/>
      <charset val="204"/>
    </font>
    <font>
      <b/>
      <sz val="10"/>
      <name val="Corbel"/>
      <family val="2"/>
      <charset val="204"/>
    </font>
    <font>
      <sz val="10"/>
      <color rgb="FF000000"/>
      <name val="Arial"/>
      <family val="2"/>
      <charset val="204"/>
    </font>
    <font>
      <sz val="10"/>
      <color rgb="FF424242"/>
      <name val="Tahoma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7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0" fillId="0" borderId="4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3" fontId="0" fillId="0" borderId="4" xfId="0" applyNumberFormat="1" applyBorder="1"/>
    <xf numFmtId="3" fontId="0" fillId="0" borderId="8" xfId="0" applyNumberFormat="1" applyBorder="1" applyAlignment="1">
      <alignment wrapText="1"/>
    </xf>
    <xf numFmtId="3" fontId="0" fillId="0" borderId="9" xfId="0" applyNumberFormat="1" applyBorder="1" applyAlignment="1">
      <alignment wrapText="1"/>
    </xf>
    <xf numFmtId="3" fontId="0" fillId="0" borderId="12" xfId="0" applyNumberFormat="1" applyBorder="1" applyAlignment="1">
      <alignment wrapText="1"/>
    </xf>
    <xf numFmtId="3" fontId="1" fillId="0" borderId="10" xfId="0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wrapText="1"/>
    </xf>
    <xf numFmtId="3" fontId="0" fillId="0" borderId="4" xfId="0" applyNumberFormat="1" applyBorder="1" applyAlignment="1">
      <alignment horizontal="center" wrapText="1"/>
    </xf>
    <xf numFmtId="3" fontId="1" fillId="0" borderId="11" xfId="0" applyNumberFormat="1" applyFont="1" applyBorder="1" applyAlignment="1">
      <alignment horizontal="center" wrapText="1"/>
    </xf>
    <xf numFmtId="0" fontId="0" fillId="0" borderId="0" xfId="0" applyFill="1" applyBorder="1"/>
    <xf numFmtId="0" fontId="0" fillId="0" borderId="8" xfId="0" applyFill="1" applyBorder="1"/>
    <xf numFmtId="3" fontId="1" fillId="0" borderId="0" xfId="0" applyNumberFormat="1" applyFont="1" applyBorder="1" applyAlignment="1">
      <alignment wrapText="1"/>
    </xf>
    <xf numFmtId="3" fontId="0" fillId="0" borderId="0" xfId="0" applyNumberFormat="1" applyBorder="1" applyAlignment="1">
      <alignment wrapText="1"/>
    </xf>
    <xf numFmtId="0" fontId="4" fillId="0" borderId="5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4" fillId="0" borderId="0" xfId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14" fontId="3" fillId="0" borderId="6" xfId="1" applyNumberFormat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16" fontId="9" fillId="0" borderId="9" xfId="1" applyNumberFormat="1" applyFont="1" applyBorder="1" applyAlignment="1">
      <alignment vertical="center" wrapText="1"/>
    </xf>
    <xf numFmtId="3" fontId="4" fillId="0" borderId="9" xfId="1" applyNumberFormat="1" applyFont="1" applyBorder="1" applyAlignment="1">
      <alignment vertical="center" wrapText="1"/>
    </xf>
    <xf numFmtId="3" fontId="4" fillId="0" borderId="4" xfId="1" applyNumberFormat="1" applyFont="1" applyBorder="1" applyAlignment="1">
      <alignment vertical="center" wrapText="1"/>
    </xf>
    <xf numFmtId="3" fontId="4" fillId="0" borderId="4" xfId="1" applyNumberFormat="1" applyFont="1" applyBorder="1" applyAlignment="1">
      <alignment horizontal="center" vertical="center" wrapText="1"/>
    </xf>
    <xf numFmtId="3" fontId="4" fillId="0" borderId="4" xfId="1" applyNumberFormat="1" applyFont="1" applyFill="1" applyBorder="1" applyAlignment="1">
      <alignment horizontal="center"/>
    </xf>
    <xf numFmtId="3" fontId="4" fillId="0" borderId="4" xfId="1" applyNumberFormat="1" applyFont="1" applyFill="1" applyBorder="1" applyAlignment="1">
      <alignment vertical="center" wrapText="1"/>
    </xf>
    <xf numFmtId="3" fontId="3" fillId="0" borderId="4" xfId="1" applyNumberFormat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wrapText="1"/>
    </xf>
    <xf numFmtId="0" fontId="1" fillId="0" borderId="10" xfId="0" applyFont="1" applyBorder="1"/>
    <xf numFmtId="3" fontId="12" fillId="0" borderId="12" xfId="0" applyNumberFormat="1" applyFont="1" applyBorder="1"/>
    <xf numFmtId="3" fontId="0" fillId="0" borderId="0" xfId="0" applyNumberFormat="1" applyBorder="1"/>
    <xf numFmtId="0" fontId="0" fillId="0" borderId="8" xfId="0" applyBorder="1" applyAlignment="1">
      <alignment wrapText="1"/>
    </xf>
    <xf numFmtId="4" fontId="0" fillId="0" borderId="8" xfId="0" applyNumberFormat="1" applyBorder="1" applyAlignment="1">
      <alignment wrapText="1"/>
    </xf>
    <xf numFmtId="3" fontId="1" fillId="0" borderId="0" xfId="0" applyNumberFormat="1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3" borderId="0" xfId="0" applyFont="1" applyFill="1"/>
    <xf numFmtId="0" fontId="1" fillId="0" borderId="3" xfId="0" applyFont="1" applyBorder="1" applyAlignment="1"/>
    <xf numFmtId="0" fontId="1" fillId="0" borderId="0" xfId="0" applyFont="1" applyAlignment="1"/>
    <xf numFmtId="3" fontId="4" fillId="0" borderId="13" xfId="1" applyNumberFormat="1" applyFont="1" applyBorder="1" applyAlignment="1">
      <alignment horizontal="center" vertical="center" wrapText="1"/>
    </xf>
    <xf numFmtId="3" fontId="4" fillId="0" borderId="13" xfId="1" applyNumberFormat="1" applyFont="1" applyFill="1" applyBorder="1" applyAlignment="1">
      <alignment vertical="center" wrapText="1"/>
    </xf>
    <xf numFmtId="3" fontId="4" fillId="0" borderId="14" xfId="1" applyNumberFormat="1" applyFont="1" applyBorder="1" applyAlignment="1">
      <alignment horizontal="center" vertical="center" wrapText="1"/>
    </xf>
    <xf numFmtId="3" fontId="4" fillId="0" borderId="14" xfId="1" applyNumberFormat="1" applyFont="1" applyFill="1" applyBorder="1" applyAlignment="1">
      <alignment vertical="center" wrapText="1"/>
    </xf>
    <xf numFmtId="0" fontId="4" fillId="0" borderId="15" xfId="1" applyFont="1" applyFill="1" applyBorder="1" applyAlignment="1">
      <alignment horizontal="left" vertical="center" wrapText="1"/>
    </xf>
    <xf numFmtId="3" fontId="4" fillId="0" borderId="16" xfId="1" applyNumberFormat="1" applyFont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left" vertical="center" wrapText="1"/>
    </xf>
    <xf numFmtId="0" fontId="3" fillId="0" borderId="15" xfId="1" applyFont="1" applyFill="1" applyBorder="1" applyAlignment="1">
      <alignment vertical="center" wrapText="1"/>
    </xf>
    <xf numFmtId="0" fontId="4" fillId="0" borderId="15" xfId="1" applyFont="1" applyFill="1" applyBorder="1" applyAlignment="1">
      <alignment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Fill="1" applyBorder="1" applyAlignment="1">
      <alignment vertical="center" wrapText="1"/>
    </xf>
    <xf numFmtId="0" fontId="4" fillId="0" borderId="8" xfId="1" applyFont="1" applyBorder="1" applyAlignment="1">
      <alignment horizontal="left" vertical="center" wrapText="1"/>
    </xf>
    <xf numFmtId="3" fontId="11" fillId="0" borderId="9" xfId="0" applyNumberFormat="1" applyFont="1" applyBorder="1"/>
    <xf numFmtId="0" fontId="3" fillId="0" borderId="23" xfId="1" applyFont="1" applyFill="1" applyBorder="1" applyAlignment="1">
      <alignment horizontal="left" vertical="center" wrapText="1"/>
    </xf>
    <xf numFmtId="3" fontId="11" fillId="0" borderId="24" xfId="0" applyNumberFormat="1" applyFont="1" applyBorder="1"/>
    <xf numFmtId="0" fontId="4" fillId="0" borderId="8" xfId="1" applyFont="1" applyFill="1" applyBorder="1" applyAlignment="1">
      <alignment horizontal="left" vertical="center" wrapText="1"/>
    </xf>
    <xf numFmtId="0" fontId="4" fillId="0" borderId="21" xfId="1" applyFont="1" applyFill="1" applyBorder="1" applyAlignment="1">
      <alignment horizontal="left" vertical="center" wrapText="1"/>
    </xf>
    <xf numFmtId="0" fontId="3" fillId="0" borderId="23" xfId="1" applyFont="1" applyBorder="1" applyAlignment="1">
      <alignment vertical="center" wrapText="1"/>
    </xf>
    <xf numFmtId="0" fontId="3" fillId="0" borderId="23" xfId="1" applyFont="1" applyFill="1" applyBorder="1" applyAlignment="1">
      <alignment vertical="center" wrapText="1"/>
    </xf>
    <xf numFmtId="0" fontId="4" fillId="0" borderId="8" xfId="1" applyFont="1" applyFill="1" applyBorder="1" applyAlignment="1">
      <alignment vertical="center" wrapText="1"/>
    </xf>
    <xf numFmtId="0" fontId="3" fillId="0" borderId="25" xfId="1" applyFont="1" applyFill="1" applyBorder="1" applyAlignment="1">
      <alignment vertical="center" wrapText="1"/>
    </xf>
    <xf numFmtId="3" fontId="11" fillId="0" borderId="26" xfId="0" applyNumberFormat="1" applyFont="1" applyBorder="1"/>
    <xf numFmtId="0" fontId="3" fillId="0" borderId="18" xfId="1" applyFont="1" applyBorder="1" applyAlignment="1">
      <alignment vertical="center" wrapText="1"/>
    </xf>
    <xf numFmtId="3" fontId="3" fillId="0" borderId="19" xfId="1" applyNumberFormat="1" applyFont="1" applyBorder="1" applyAlignment="1">
      <alignment horizontal="center" vertical="center" wrapText="1"/>
    </xf>
    <xf numFmtId="3" fontId="3" fillId="0" borderId="16" xfId="1" applyNumberFormat="1" applyFont="1" applyBorder="1" applyAlignment="1">
      <alignment horizontal="center" vertical="center" wrapText="1"/>
    </xf>
    <xf numFmtId="3" fontId="0" fillId="0" borderId="9" xfId="0" applyNumberFormat="1" applyBorder="1"/>
    <xf numFmtId="3" fontId="0" fillId="0" borderId="21" xfId="0" applyNumberFormat="1" applyBorder="1" applyAlignment="1">
      <alignment wrapText="1"/>
    </xf>
    <xf numFmtId="3" fontId="0" fillId="0" borderId="13" xfId="0" applyNumberFormat="1" applyBorder="1" applyAlignment="1">
      <alignment horizontal="center" wrapText="1"/>
    </xf>
    <xf numFmtId="3" fontId="0" fillId="0" borderId="22" xfId="0" applyNumberFormat="1" applyBorder="1" applyAlignment="1">
      <alignment wrapText="1"/>
    </xf>
    <xf numFmtId="3" fontId="3" fillId="0" borderId="0" xfId="1" applyNumberFormat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 wrapText="1"/>
    </xf>
    <xf numFmtId="9" fontId="3" fillId="0" borderId="0" xfId="1" applyNumberFormat="1" applyFont="1" applyBorder="1" applyAlignment="1">
      <alignment horizontal="center" vertical="center" wrapText="1"/>
    </xf>
    <xf numFmtId="0" fontId="4" fillId="4" borderId="21" xfId="1" applyFont="1" applyFill="1" applyBorder="1" applyAlignment="1">
      <alignment wrapText="1"/>
    </xf>
    <xf numFmtId="0" fontId="4" fillId="0" borderId="22" xfId="1" applyFont="1" applyFill="1" applyBorder="1" applyAlignment="1"/>
    <xf numFmtId="3" fontId="3" fillId="0" borderId="4" xfId="1" applyNumberFormat="1" applyFont="1" applyFill="1" applyBorder="1" applyAlignment="1">
      <alignment horizontal="center"/>
    </xf>
    <xf numFmtId="0" fontId="10" fillId="0" borderId="8" xfId="1" applyFont="1" applyBorder="1" applyAlignment="1">
      <alignment vertical="center" wrapText="1"/>
    </xf>
    <xf numFmtId="3" fontId="3" fillId="0" borderId="9" xfId="1" applyNumberFormat="1" applyFont="1" applyFill="1" applyBorder="1" applyAlignment="1">
      <alignment horizontal="center"/>
    </xf>
    <xf numFmtId="0" fontId="3" fillId="4" borderId="0" xfId="1" applyFont="1" applyFill="1" applyBorder="1" applyAlignment="1">
      <alignment vertical="center" wrapText="1"/>
    </xf>
    <xf numFmtId="0" fontId="1" fillId="4" borderId="0" xfId="0" applyFont="1" applyFill="1" applyBorder="1"/>
    <xf numFmtId="0" fontId="3" fillId="3" borderId="10" xfId="1" applyFont="1" applyFill="1" applyBorder="1" applyAlignment="1">
      <alignment vertical="center" wrapText="1"/>
    </xf>
    <xf numFmtId="3" fontId="3" fillId="0" borderId="9" xfId="1" applyNumberFormat="1" applyFont="1" applyFill="1" applyBorder="1" applyAlignment="1">
      <alignment horizontal="right"/>
    </xf>
    <xf numFmtId="3" fontId="0" fillId="0" borderId="0" xfId="0" applyNumberFormat="1"/>
    <xf numFmtId="0" fontId="1" fillId="0" borderId="0" xfId="0" applyFont="1" applyBorder="1"/>
    <xf numFmtId="3" fontId="12" fillId="0" borderId="0" xfId="0" applyNumberFormat="1" applyFont="1" applyBorder="1"/>
    <xf numFmtId="3" fontId="4" fillId="0" borderId="9" xfId="1" applyNumberFormat="1" applyFont="1" applyBorder="1" applyAlignment="1">
      <alignment horizontal="center" vertical="center" wrapText="1"/>
    </xf>
    <xf numFmtId="3" fontId="4" fillId="0" borderId="17" xfId="1" applyNumberFormat="1" applyFont="1" applyBorder="1" applyAlignment="1">
      <alignment horizontal="center" vertical="center" wrapText="1"/>
    </xf>
    <xf numFmtId="3" fontId="3" fillId="0" borderId="20" xfId="1" applyNumberFormat="1" applyFont="1" applyBorder="1" applyAlignment="1">
      <alignment horizontal="center" vertical="center" wrapText="1"/>
    </xf>
    <xf numFmtId="3" fontId="3" fillId="0" borderId="17" xfId="1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3" fontId="1" fillId="3" borderId="11" xfId="0" applyNumberFormat="1" applyFont="1" applyFill="1" applyBorder="1" applyAlignment="1">
      <alignment horizontal="center"/>
    </xf>
    <xf numFmtId="3" fontId="0" fillId="3" borderId="4" xfId="0" applyNumberFormat="1" applyFill="1" applyBorder="1"/>
    <xf numFmtId="3" fontId="4" fillId="3" borderId="9" xfId="1" applyNumberFormat="1" applyFont="1" applyFill="1" applyBorder="1" applyAlignment="1"/>
    <xf numFmtId="0" fontId="0" fillId="0" borderId="0" xfId="0" applyAlignment="1">
      <alignment wrapText="1" shrinkToFit="1"/>
    </xf>
    <xf numFmtId="14" fontId="0" fillId="0" borderId="0" xfId="0" applyNumberFormat="1"/>
    <xf numFmtId="0" fontId="0" fillId="0" borderId="0" xfId="0" applyFill="1"/>
    <xf numFmtId="0" fontId="0" fillId="0" borderId="0" xfId="0" applyAlignment="1">
      <alignment horizontal="left" wrapText="1"/>
    </xf>
    <xf numFmtId="9" fontId="0" fillId="0" borderId="0" xfId="0" applyNumberFormat="1"/>
    <xf numFmtId="14" fontId="4" fillId="0" borderId="0" xfId="1" applyNumberFormat="1" applyFont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 wrapText="1"/>
    </xf>
    <xf numFmtId="0" fontId="1" fillId="0" borderId="0" xfId="0" applyFont="1" applyFill="1" applyBorder="1"/>
    <xf numFmtId="3" fontId="0" fillId="0" borderId="0" xfId="0" applyNumberFormat="1" applyFill="1" applyBorder="1"/>
    <xf numFmtId="0" fontId="1" fillId="0" borderId="0" xfId="0" applyFont="1" applyFill="1" applyBorder="1" applyAlignment="1">
      <alignment wrapText="1"/>
    </xf>
    <xf numFmtId="3" fontId="1" fillId="3" borderId="0" xfId="0" applyNumberFormat="1" applyFont="1" applyFill="1"/>
    <xf numFmtId="0" fontId="14" fillId="0" borderId="0" xfId="0" applyFont="1" applyAlignment="1">
      <alignment horizontal="justify" readingOrder="1"/>
    </xf>
    <xf numFmtId="0" fontId="15" fillId="0" borderId="0" xfId="0" applyFont="1" applyAlignment="1">
      <alignment horizontal="justify" readingOrder="1"/>
    </xf>
    <xf numFmtId="3" fontId="4" fillId="0" borderId="4" xfId="1" applyNumberFormat="1" applyFont="1" applyFill="1" applyBorder="1" applyAlignment="1">
      <alignment horizontal="right" vertical="center" wrapText="1"/>
    </xf>
    <xf numFmtId="3" fontId="4" fillId="0" borderId="22" xfId="1" applyNumberFormat="1" applyFont="1" applyFill="1" applyBorder="1" applyAlignment="1"/>
    <xf numFmtId="0" fontId="4" fillId="3" borderId="21" xfId="1" applyFont="1" applyFill="1" applyBorder="1" applyAlignment="1">
      <alignment wrapText="1"/>
    </xf>
    <xf numFmtId="0" fontId="0" fillId="3" borderId="0" xfId="0" applyFill="1"/>
    <xf numFmtId="0" fontId="16" fillId="0" borderId="0" xfId="0" applyFont="1"/>
    <xf numFmtId="0" fontId="20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0" fillId="0" borderId="0" xfId="0" applyFont="1" applyAlignment="1">
      <alignment horizontal="left" indent="4" readingOrder="1"/>
    </xf>
    <xf numFmtId="0" fontId="0" fillId="0" borderId="4" xfId="0" applyNumberFormat="1" applyBorder="1" applyAlignment="1">
      <alignment wrapText="1"/>
    </xf>
    <xf numFmtId="14" fontId="0" fillId="0" borderId="4" xfId="0" applyNumberFormat="1" applyBorder="1"/>
    <xf numFmtId="0" fontId="24" fillId="0" borderId="0" xfId="0" applyFont="1"/>
    <xf numFmtId="0" fontId="13" fillId="0" borderId="0" xfId="0" applyFont="1"/>
    <xf numFmtId="0" fontId="5" fillId="0" borderId="25" xfId="1" applyFont="1" applyFill="1" applyBorder="1" applyAlignment="1">
      <alignment vertical="center" wrapText="1"/>
    </xf>
    <xf numFmtId="0" fontId="5" fillId="0" borderId="21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3" borderId="21" xfId="1" applyFont="1" applyFill="1" applyBorder="1" applyAlignment="1">
      <alignment horizontal="left" vertical="center" wrapText="1"/>
    </xf>
    <xf numFmtId="0" fontId="5" fillId="2" borderId="21" xfId="1" applyFont="1" applyFill="1" applyBorder="1" applyAlignment="1">
      <alignment vertical="center" wrapText="1"/>
    </xf>
    <xf numFmtId="0" fontId="1" fillId="0" borderId="10" xfId="0" applyFont="1" applyFill="1" applyBorder="1"/>
    <xf numFmtId="3" fontId="1" fillId="0" borderId="11" xfId="0" applyNumberFormat="1" applyFont="1" applyBorder="1"/>
    <xf numFmtId="4" fontId="1" fillId="0" borderId="10" xfId="0" applyNumberFormat="1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3" fillId="3" borderId="0" xfId="0" applyFont="1" applyFill="1" applyBorder="1"/>
    <xf numFmtId="3" fontId="3" fillId="3" borderId="9" xfId="1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wrapText="1"/>
    </xf>
    <xf numFmtId="3" fontId="1" fillId="0" borderId="4" xfId="0" applyNumberFormat="1" applyFont="1" applyBorder="1"/>
    <xf numFmtId="0" fontId="0" fillId="0" borderId="4" xfId="0" applyBorder="1" applyAlignment="1">
      <alignment wrapText="1"/>
    </xf>
    <xf numFmtId="0" fontId="0" fillId="0" borderId="4" xfId="0" applyFill="1" applyBorder="1" applyAlignment="1">
      <alignment wrapText="1"/>
    </xf>
    <xf numFmtId="3" fontId="1" fillId="3" borderId="0" xfId="0" applyNumberFormat="1" applyFont="1" applyFill="1" applyBorder="1"/>
    <xf numFmtId="0" fontId="3" fillId="4" borderId="21" xfId="1" applyFont="1" applyFill="1" applyBorder="1" applyAlignment="1">
      <alignment wrapText="1"/>
    </xf>
    <xf numFmtId="0" fontId="4" fillId="3" borderId="25" xfId="1" applyFont="1" applyFill="1" applyBorder="1" applyAlignment="1">
      <alignment wrapText="1"/>
    </xf>
    <xf numFmtId="0" fontId="1" fillId="3" borderId="0" xfId="0" applyFont="1" applyFill="1" applyBorder="1"/>
    <xf numFmtId="0" fontId="0" fillId="0" borderId="1" xfId="0" applyFill="1" applyBorder="1"/>
    <xf numFmtId="3" fontId="1" fillId="0" borderId="0" xfId="0" applyNumberFormat="1" applyFont="1" applyFill="1" applyBorder="1"/>
    <xf numFmtId="14" fontId="0" fillId="0" borderId="0" xfId="0" applyNumberFormat="1" applyFill="1"/>
    <xf numFmtId="4" fontId="0" fillId="0" borderId="0" xfId="0" applyNumberFormat="1"/>
    <xf numFmtId="4" fontId="1" fillId="0" borderId="0" xfId="0" applyNumberFormat="1" applyFont="1"/>
    <xf numFmtId="4" fontId="1" fillId="0" borderId="0" xfId="0" applyNumberFormat="1" applyFont="1" applyFill="1" applyBorder="1"/>
    <xf numFmtId="2" fontId="0" fillId="0" borderId="0" xfId="0" applyNumberFormat="1" applyAlignment="1">
      <alignment wrapText="1"/>
    </xf>
    <xf numFmtId="0" fontId="25" fillId="0" borderId="0" xfId="0" applyFont="1"/>
    <xf numFmtId="3" fontId="25" fillId="0" borderId="0" xfId="0" applyNumberFormat="1" applyFont="1"/>
    <xf numFmtId="1" fontId="0" fillId="0" borderId="0" xfId="0" applyNumberFormat="1"/>
    <xf numFmtId="3" fontId="1" fillId="0" borderId="0" xfId="0" applyNumberFormat="1" applyFont="1"/>
    <xf numFmtId="164" fontId="1" fillId="0" borderId="0" xfId="0" applyNumberFormat="1" applyFont="1" applyAlignment="1">
      <alignment wrapText="1"/>
    </xf>
    <xf numFmtId="0" fontId="0" fillId="0" borderId="0" xfId="0" applyFont="1"/>
    <xf numFmtId="0" fontId="1" fillId="0" borderId="27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left" wrapText="1"/>
    </xf>
    <xf numFmtId="0" fontId="21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3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left" readingOrder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361950</xdr:colOff>
      <xdr:row>7</xdr:row>
      <xdr:rowOff>161925</xdr:rowOff>
    </xdr:from>
    <xdr:ext cx="184731" cy="264560"/>
    <xdr:sp macro="" textlink="">
      <xdr:nvSpPr>
        <xdr:cNvPr id="10" name="TextBox 9"/>
        <xdr:cNvSpPr txBox="1"/>
      </xdr:nvSpPr>
      <xdr:spPr>
        <a:xfrm>
          <a:off x="2800350" y="1495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114300</xdr:colOff>
      <xdr:row>66</xdr:row>
      <xdr:rowOff>171450</xdr:rowOff>
    </xdr:from>
    <xdr:to>
      <xdr:col>6</xdr:col>
      <xdr:colOff>838200</xdr:colOff>
      <xdr:row>66</xdr:row>
      <xdr:rowOff>180977</xdr:rowOff>
    </xdr:to>
    <xdr:cxnSp macro="">
      <xdr:nvCxnSpPr>
        <xdr:cNvPr id="18" name="Прямая со стрелкой 17"/>
        <xdr:cNvCxnSpPr/>
      </xdr:nvCxnSpPr>
      <xdr:spPr>
        <a:xfrm flipV="1">
          <a:off x="7496175" y="18526125"/>
          <a:ext cx="723900" cy="952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44823</xdr:colOff>
      <xdr:row>156</xdr:row>
      <xdr:rowOff>515471</xdr:rowOff>
    </xdr:from>
    <xdr:to>
      <xdr:col>5</xdr:col>
      <xdr:colOff>168088</xdr:colOff>
      <xdr:row>157</xdr:row>
      <xdr:rowOff>212912</xdr:rowOff>
    </xdr:to>
    <xdr:cxnSp macro="">
      <xdr:nvCxnSpPr>
        <xdr:cNvPr id="5" name="Прямая со стрелкой 4"/>
        <xdr:cNvCxnSpPr/>
      </xdr:nvCxnSpPr>
      <xdr:spPr>
        <a:xfrm flipV="1">
          <a:off x="5031441" y="38100000"/>
          <a:ext cx="1367118" cy="26894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157</xdr:row>
      <xdr:rowOff>291353</xdr:rowOff>
    </xdr:from>
    <xdr:to>
      <xdr:col>5</xdr:col>
      <xdr:colOff>448235</xdr:colOff>
      <xdr:row>158</xdr:row>
      <xdr:rowOff>302559</xdr:rowOff>
    </xdr:to>
    <xdr:cxnSp macro="">
      <xdr:nvCxnSpPr>
        <xdr:cNvPr id="7" name="Прямая со стрелкой 6"/>
        <xdr:cNvCxnSpPr/>
      </xdr:nvCxnSpPr>
      <xdr:spPr>
        <a:xfrm>
          <a:off x="4986618" y="38447382"/>
          <a:ext cx="1692088" cy="58270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161925</xdr:rowOff>
    </xdr:from>
    <xdr:to>
      <xdr:col>5</xdr:col>
      <xdr:colOff>209550</xdr:colOff>
      <xdr:row>6</xdr:row>
      <xdr:rowOff>0</xdr:rowOff>
    </xdr:to>
    <xdr:cxnSp macro="">
      <xdr:nvCxnSpPr>
        <xdr:cNvPr id="3" name="Прямая со стрелкой 2"/>
        <xdr:cNvCxnSpPr/>
      </xdr:nvCxnSpPr>
      <xdr:spPr>
        <a:xfrm flipH="1">
          <a:off x="3295650" y="542925"/>
          <a:ext cx="66675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438150</xdr:colOff>
      <xdr:row>3</xdr:row>
      <xdr:rowOff>0</xdr:rowOff>
    </xdr:from>
    <xdr:to>
      <xdr:col>6</xdr:col>
      <xdr:colOff>428625</xdr:colOff>
      <xdr:row>6</xdr:row>
      <xdr:rowOff>9525</xdr:rowOff>
    </xdr:to>
    <xdr:cxnSp macro="">
      <xdr:nvCxnSpPr>
        <xdr:cNvPr id="5" name="Прямая со стрелкой 4"/>
        <xdr:cNvCxnSpPr/>
      </xdr:nvCxnSpPr>
      <xdr:spPr>
        <a:xfrm>
          <a:off x="4191000" y="571500"/>
          <a:ext cx="600075" cy="581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79</xdr:row>
      <xdr:rowOff>168089</xdr:rowOff>
    </xdr:from>
    <xdr:to>
      <xdr:col>9</xdr:col>
      <xdr:colOff>593912</xdr:colOff>
      <xdr:row>80</xdr:row>
      <xdr:rowOff>0</xdr:rowOff>
    </xdr:to>
    <xdr:cxnSp macro="">
      <xdr:nvCxnSpPr>
        <xdr:cNvPr id="3" name="Прямая соединительная линия 2"/>
        <xdr:cNvCxnSpPr/>
      </xdr:nvCxnSpPr>
      <xdr:spPr>
        <a:xfrm>
          <a:off x="56029" y="17189824"/>
          <a:ext cx="6409765" cy="2241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0"/>
  <sheetViews>
    <sheetView topLeftCell="A91" zoomScale="85" zoomScaleNormal="85" workbookViewId="0">
      <selection activeCell="G36" sqref="G36"/>
    </sheetView>
  </sheetViews>
  <sheetFormatPr defaultRowHeight="14.4"/>
  <cols>
    <col min="1" max="1" width="9.109375" style="1"/>
    <col min="3" max="3" width="35" customWidth="1"/>
    <col min="4" max="4" width="21.6640625" customWidth="1"/>
    <col min="5" max="5" width="18.5546875" customWidth="1"/>
    <col min="6" max="6" width="22" customWidth="1"/>
    <col min="7" max="7" width="24.88671875" customWidth="1"/>
    <col min="8" max="8" width="10.109375" bestFit="1" customWidth="1"/>
  </cols>
  <sheetData>
    <row r="1" spans="2:12">
      <c r="G1" s="48" t="s">
        <v>29</v>
      </c>
    </row>
    <row r="3" spans="2:12">
      <c r="B3" s="49" t="s">
        <v>76</v>
      </c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2:12" ht="15" thickBot="1"/>
    <row r="5" spans="2:12" ht="62.4">
      <c r="C5" s="62" t="s">
        <v>5</v>
      </c>
      <c r="D5" s="63" t="s">
        <v>33</v>
      </c>
      <c r="E5" s="63" t="s">
        <v>34</v>
      </c>
      <c r="F5" s="63" t="s">
        <v>12</v>
      </c>
      <c r="G5" s="64" t="s">
        <v>35</v>
      </c>
    </row>
    <row r="6" spans="2:12" ht="15.6">
      <c r="C6" s="65" t="s">
        <v>30</v>
      </c>
      <c r="D6" s="34"/>
      <c r="E6" s="33"/>
      <c r="F6" s="37"/>
      <c r="G6" s="80"/>
    </row>
    <row r="7" spans="2:12" ht="14.25" customHeight="1">
      <c r="C7" s="25" t="s">
        <v>31</v>
      </c>
      <c r="D7" s="34">
        <v>775000</v>
      </c>
      <c r="E7" s="34">
        <v>380000</v>
      </c>
      <c r="F7" s="36">
        <f>E63+E64+D156</f>
        <v>109580</v>
      </c>
      <c r="G7" s="99">
        <f>D7+E7+F7</f>
        <v>1264580</v>
      </c>
    </row>
    <row r="8" spans="2:12" ht="15.6">
      <c r="C8" s="66" t="s">
        <v>32</v>
      </c>
      <c r="D8" s="34">
        <v>410000</v>
      </c>
      <c r="E8" s="34"/>
      <c r="F8" s="36">
        <f>-D8</f>
        <v>-410000</v>
      </c>
      <c r="G8" s="99">
        <f t="shared" ref="G8:G11" si="0">D8+E8+F8</f>
        <v>0</v>
      </c>
    </row>
    <row r="9" spans="2:12" ht="15.6">
      <c r="C9" s="66" t="s">
        <v>36</v>
      </c>
      <c r="D9" s="34"/>
      <c r="E9" s="34"/>
      <c r="F9" s="36"/>
      <c r="G9" s="99"/>
    </row>
    <row r="10" spans="2:12" ht="31.2">
      <c r="C10" s="134" t="s">
        <v>100</v>
      </c>
      <c r="D10" s="34"/>
      <c r="E10" s="34"/>
      <c r="F10" s="120">
        <f>D150</f>
        <v>151000</v>
      </c>
      <c r="G10" s="99">
        <f t="shared" si="0"/>
        <v>151000</v>
      </c>
      <c r="H10" t="s">
        <v>106</v>
      </c>
    </row>
    <row r="11" spans="2:12" ht="16.2" thickBot="1">
      <c r="C11" s="135" t="s">
        <v>6</v>
      </c>
      <c r="D11" s="51"/>
      <c r="E11" s="51"/>
      <c r="F11" s="52">
        <f>D80</f>
        <v>52000</v>
      </c>
      <c r="G11" s="99">
        <f t="shared" si="0"/>
        <v>52000</v>
      </c>
      <c r="H11" t="s">
        <v>75</v>
      </c>
    </row>
    <row r="12" spans="2:12" ht="16.2" thickBot="1">
      <c r="C12" s="55" t="s">
        <v>44</v>
      </c>
      <c r="D12" s="56">
        <f>SUM(D7:D11)</f>
        <v>1185000</v>
      </c>
      <c r="E12" s="56">
        <f>SUM(E7:E11)</f>
        <v>380000</v>
      </c>
      <c r="F12" s="56"/>
      <c r="G12" s="100">
        <f t="shared" ref="G12" si="1">SUM(G7:G11)</f>
        <v>1467580</v>
      </c>
    </row>
    <row r="13" spans="2:12" ht="15.6">
      <c r="C13" s="68" t="s">
        <v>37</v>
      </c>
      <c r="D13" s="53"/>
      <c r="E13" s="53"/>
      <c r="F13" s="54"/>
      <c r="G13" s="69"/>
    </row>
    <row r="14" spans="2:12" ht="15.6">
      <c r="C14" s="70" t="s">
        <v>38</v>
      </c>
      <c r="D14" s="34">
        <v>150000</v>
      </c>
      <c r="E14" s="34">
        <v>95000</v>
      </c>
      <c r="F14" s="36">
        <f>D104</f>
        <v>-3000</v>
      </c>
      <c r="G14" s="99">
        <f t="shared" ref="G14:G16" si="2">D14+E14+F14</f>
        <v>242000</v>
      </c>
    </row>
    <row r="15" spans="2:12" ht="15.6">
      <c r="C15" s="70" t="s">
        <v>39</v>
      </c>
      <c r="D15" s="34">
        <v>100000</v>
      </c>
      <c r="E15" s="34">
        <v>80000</v>
      </c>
      <c r="F15" s="36">
        <f>-10000</f>
        <v>-10000</v>
      </c>
      <c r="G15" s="99">
        <f t="shared" si="2"/>
        <v>170000</v>
      </c>
    </row>
    <row r="16" spans="2:12" ht="31.8" thickBot="1">
      <c r="C16" s="71" t="s">
        <v>40</v>
      </c>
      <c r="D16" s="51">
        <v>18000</v>
      </c>
      <c r="E16" s="51">
        <v>15000</v>
      </c>
      <c r="F16" s="52">
        <f>10000</f>
        <v>10000</v>
      </c>
      <c r="G16" s="99">
        <f t="shared" si="2"/>
        <v>43000</v>
      </c>
    </row>
    <row r="17" spans="3:8" ht="16.2" thickBot="1">
      <c r="C17" s="55" t="s">
        <v>45</v>
      </c>
      <c r="D17" s="56">
        <f>SUM(D14:D16)</f>
        <v>268000</v>
      </c>
      <c r="E17" s="56">
        <f>SUM(E14:E16)</f>
        <v>190000</v>
      </c>
      <c r="F17" s="56"/>
      <c r="G17" s="100">
        <f t="shared" ref="G17" si="3">SUM(G14:G16)</f>
        <v>455000</v>
      </c>
    </row>
    <row r="18" spans="3:8" ht="16.2" thickBot="1">
      <c r="C18" s="57" t="s">
        <v>46</v>
      </c>
      <c r="D18" s="78">
        <f>D12+D17</f>
        <v>1453000</v>
      </c>
      <c r="E18" s="78">
        <f>E12+E17</f>
        <v>570000</v>
      </c>
      <c r="F18" s="78"/>
      <c r="G18" s="101">
        <f t="shared" ref="G18" si="4">G12+G17</f>
        <v>1922580</v>
      </c>
    </row>
    <row r="19" spans="3:8" ht="31.2">
      <c r="C19" s="72" t="s">
        <v>8</v>
      </c>
      <c r="D19" s="53"/>
      <c r="E19" s="53"/>
      <c r="F19" s="54"/>
      <c r="G19" s="69"/>
    </row>
    <row r="20" spans="3:8" ht="15.6">
      <c r="C20" s="66" t="s">
        <v>13</v>
      </c>
      <c r="D20" s="34">
        <v>520000</v>
      </c>
      <c r="E20" s="34">
        <v>160000</v>
      </c>
      <c r="F20" s="36">
        <f>-E20</f>
        <v>-160000</v>
      </c>
      <c r="G20" s="99">
        <f t="shared" ref="G20:G22" si="5">D20+E20+F20</f>
        <v>520000</v>
      </c>
      <c r="H20" t="s">
        <v>225</v>
      </c>
    </row>
    <row r="21" spans="3:8" ht="15.6">
      <c r="C21" s="66" t="s">
        <v>9</v>
      </c>
      <c r="D21" s="34">
        <v>693000</v>
      </c>
      <c r="E21" s="34">
        <v>200000</v>
      </c>
      <c r="F21" s="36"/>
      <c r="G21" s="142">
        <f>D108</f>
        <v>778920</v>
      </c>
      <c r="H21" t="s">
        <v>226</v>
      </c>
    </row>
    <row r="22" spans="3:8" ht="31.8" thickBot="1">
      <c r="C22" s="136" t="s">
        <v>10</v>
      </c>
      <c r="D22" s="51"/>
      <c r="E22" s="51"/>
      <c r="F22" s="52">
        <f>D89</f>
        <v>95300</v>
      </c>
      <c r="G22" s="99">
        <f t="shared" si="5"/>
        <v>95300</v>
      </c>
    </row>
    <row r="23" spans="3:8" ht="16.2" thickBot="1">
      <c r="C23" s="59" t="s">
        <v>47</v>
      </c>
      <c r="D23" s="56">
        <f>SUM(D20:D22)</f>
        <v>1213000</v>
      </c>
      <c r="E23" s="56">
        <f>SUM(E20:E22)</f>
        <v>360000</v>
      </c>
      <c r="F23" s="56"/>
      <c r="G23" s="100">
        <f>SUM(G20:G22)</f>
        <v>1394220</v>
      </c>
    </row>
    <row r="24" spans="3:8" ht="15.6">
      <c r="C24" s="73"/>
      <c r="D24" s="53"/>
      <c r="E24" s="53"/>
      <c r="F24" s="54"/>
      <c r="G24" s="69"/>
    </row>
    <row r="25" spans="3:8" ht="15.6">
      <c r="C25" s="65" t="s">
        <v>41</v>
      </c>
      <c r="D25" s="34"/>
      <c r="E25" s="34"/>
      <c r="F25" s="36"/>
      <c r="G25" s="67"/>
    </row>
    <row r="26" spans="3:8" ht="15.6">
      <c r="C26" s="74" t="s">
        <v>42</v>
      </c>
      <c r="D26" s="34">
        <v>100000</v>
      </c>
      <c r="E26" s="34">
        <v>80000</v>
      </c>
      <c r="F26" s="36"/>
      <c r="G26" s="99">
        <f t="shared" ref="G26:G28" si="6">D26+E26+F26</f>
        <v>180000</v>
      </c>
    </row>
    <row r="27" spans="3:8" ht="15.6">
      <c r="C27" s="74" t="s">
        <v>43</v>
      </c>
      <c r="D27" s="34">
        <v>60000</v>
      </c>
      <c r="E27" s="34">
        <v>45000</v>
      </c>
      <c r="F27" s="36">
        <f>-E66</f>
        <v>7300</v>
      </c>
      <c r="G27" s="99">
        <f t="shared" si="6"/>
        <v>112300</v>
      </c>
    </row>
    <row r="28" spans="3:8" ht="16.2" thickBot="1">
      <c r="C28" s="133" t="s">
        <v>134</v>
      </c>
      <c r="D28" s="51"/>
      <c r="E28" s="51"/>
      <c r="F28" s="52">
        <f>F159</f>
        <v>64613</v>
      </c>
      <c r="G28" s="99">
        <f t="shared" si="6"/>
        <v>64613</v>
      </c>
      <c r="H28" s="2" t="s">
        <v>129</v>
      </c>
    </row>
    <row r="29" spans="3:8" ht="16.2" thickBot="1">
      <c r="C29" s="59" t="s">
        <v>48</v>
      </c>
      <c r="D29" s="56">
        <f>SUM(D26:D27)</f>
        <v>160000</v>
      </c>
      <c r="E29" s="56">
        <f>SUM(E26:E27)</f>
        <v>125000</v>
      </c>
      <c r="F29" s="56"/>
      <c r="G29" s="100">
        <f>SUM(G26:G28)</f>
        <v>356913</v>
      </c>
    </row>
    <row r="30" spans="3:8" ht="15.6">
      <c r="C30" s="73"/>
      <c r="D30" s="53"/>
      <c r="E30" s="53"/>
      <c r="F30" s="54"/>
      <c r="G30" s="69"/>
    </row>
    <row r="31" spans="3:8" ht="15.6">
      <c r="C31" s="65" t="s">
        <v>49</v>
      </c>
      <c r="D31" s="34"/>
      <c r="E31" s="34"/>
      <c r="F31" s="36"/>
      <c r="G31" s="67"/>
    </row>
    <row r="32" spans="3:8" ht="46.8">
      <c r="C32" s="74" t="s">
        <v>50</v>
      </c>
      <c r="D32" s="34">
        <v>60000</v>
      </c>
      <c r="E32" s="34">
        <v>55000</v>
      </c>
      <c r="F32" s="36"/>
      <c r="G32" s="99">
        <f t="shared" ref="G32:G34" si="7">D32+E32+F32</f>
        <v>115000</v>
      </c>
    </row>
    <row r="33" spans="3:8" ht="15.6">
      <c r="C33" s="74" t="s">
        <v>51</v>
      </c>
      <c r="D33" s="34">
        <v>20000</v>
      </c>
      <c r="E33" s="34">
        <v>30000</v>
      </c>
      <c r="F33" s="36"/>
      <c r="G33" s="99">
        <f t="shared" si="7"/>
        <v>50000</v>
      </c>
    </row>
    <row r="34" spans="3:8" ht="16.2" thickBot="1">
      <c r="C34" s="132" t="s">
        <v>134</v>
      </c>
      <c r="D34" s="60"/>
      <c r="E34" s="60"/>
      <c r="F34" s="61">
        <f>F157</f>
        <v>6447</v>
      </c>
      <c r="G34" s="99">
        <f t="shared" si="7"/>
        <v>6447</v>
      </c>
      <c r="H34" s="2" t="s">
        <v>129</v>
      </c>
    </row>
    <row r="35" spans="3:8" ht="31.8" thickBot="1">
      <c r="C35" s="59" t="s">
        <v>52</v>
      </c>
      <c r="D35" s="56">
        <f>SUM(D32:D33)</f>
        <v>80000</v>
      </c>
      <c r="E35" s="56">
        <f>SUM(E32:E33)</f>
        <v>85000</v>
      </c>
      <c r="F35" s="56"/>
      <c r="G35" s="100">
        <f>SUM(G32:G34)</f>
        <v>171447</v>
      </c>
    </row>
    <row r="36" spans="3:8" ht="16.2" thickBot="1">
      <c r="C36" s="75"/>
      <c r="D36" s="60"/>
      <c r="E36" s="60"/>
      <c r="F36" s="61"/>
      <c r="G36" s="76"/>
    </row>
    <row r="37" spans="3:8" ht="31.8" thickBot="1">
      <c r="C37" s="58" t="s">
        <v>53</v>
      </c>
      <c r="D37" s="79">
        <f>D23+D29+D35</f>
        <v>1453000</v>
      </c>
      <c r="E37" s="79">
        <f>E23+E29+E35</f>
        <v>570000</v>
      </c>
      <c r="F37" s="79"/>
      <c r="G37" s="102">
        <f>G23+G29+G35</f>
        <v>1922580</v>
      </c>
    </row>
    <row r="38" spans="3:8" ht="16.2" thickBot="1">
      <c r="C38" s="77" t="s">
        <v>7</v>
      </c>
      <c r="D38" s="78">
        <f>D18-D37</f>
        <v>0</v>
      </c>
      <c r="E38" s="78">
        <f>E18-E37</f>
        <v>0</v>
      </c>
      <c r="F38" s="78"/>
      <c r="G38" s="101">
        <f>G18-G37</f>
        <v>0</v>
      </c>
    </row>
    <row r="39" spans="3:8" ht="15.6">
      <c r="C39" s="27"/>
      <c r="D39" s="84"/>
      <c r="E39" s="84"/>
      <c r="F39" s="85"/>
      <c r="G39" s="85"/>
    </row>
    <row r="40" spans="3:8" ht="15.6">
      <c r="C40" s="27" t="s">
        <v>77</v>
      </c>
      <c r="D40" s="84"/>
      <c r="E40" s="84"/>
      <c r="F40" s="85"/>
      <c r="G40" s="85"/>
    </row>
    <row r="41" spans="3:8" ht="31.2">
      <c r="C41" s="27" t="s">
        <v>32</v>
      </c>
      <c r="D41" s="84" t="s">
        <v>78</v>
      </c>
      <c r="E41" s="84" t="s">
        <v>80</v>
      </c>
      <c r="F41" s="84" t="s">
        <v>79</v>
      </c>
      <c r="G41" s="85"/>
    </row>
    <row r="42" spans="3:8" ht="15.6">
      <c r="C42" s="27" t="s">
        <v>34</v>
      </c>
      <c r="D42" s="84">
        <f>144000+120000+1000</f>
        <v>265000</v>
      </c>
      <c r="E42" s="111">
        <f>120/160</f>
        <v>0.75</v>
      </c>
      <c r="F42" s="112">
        <v>40817</v>
      </c>
      <c r="G42" s="86" t="s">
        <v>82</v>
      </c>
    </row>
    <row r="43" spans="3:8" ht="15.6">
      <c r="C43" s="26" t="s">
        <v>54</v>
      </c>
      <c r="D43" s="84">
        <v>145000</v>
      </c>
      <c r="E43" s="111">
        <f>36/120</f>
        <v>0.3</v>
      </c>
      <c r="F43" s="112">
        <v>42278</v>
      </c>
      <c r="G43" s="85" t="s">
        <v>122</v>
      </c>
    </row>
    <row r="44" spans="3:8" ht="15.6">
      <c r="C44" s="26" t="s">
        <v>81</v>
      </c>
      <c r="D44" s="84">
        <v>80000</v>
      </c>
      <c r="E44" s="111">
        <v>0.8</v>
      </c>
      <c r="F44" s="112">
        <v>41183</v>
      </c>
      <c r="G44" s="84" t="s">
        <v>99</v>
      </c>
      <c r="H44" s="108">
        <v>43281</v>
      </c>
    </row>
    <row r="45" spans="3:8" ht="31.2">
      <c r="C45" s="113" t="s">
        <v>89</v>
      </c>
      <c r="D45" s="117">
        <f>D42+D43</f>
        <v>410000</v>
      </c>
    </row>
    <row r="47" spans="3:8">
      <c r="C47" s="2" t="s">
        <v>4</v>
      </c>
    </row>
    <row r="48" spans="3:8" ht="15" thickBot="1"/>
    <row r="49" spans="3:7">
      <c r="C49" s="7" t="s">
        <v>0</v>
      </c>
      <c r="D49" s="8" t="s">
        <v>1</v>
      </c>
      <c r="E49" s="9" t="s">
        <v>2</v>
      </c>
    </row>
    <row r="50" spans="3:7">
      <c r="C50" s="11" t="s">
        <v>86</v>
      </c>
      <c r="D50" s="17">
        <v>144000</v>
      </c>
      <c r="E50" s="12"/>
    </row>
    <row r="51" spans="3:7" ht="43.2">
      <c r="C51" s="81" t="s">
        <v>84</v>
      </c>
      <c r="D51" s="82">
        <v>120000</v>
      </c>
      <c r="E51" s="83" t="s">
        <v>85</v>
      </c>
      <c r="F51" t="s">
        <v>95</v>
      </c>
      <c r="G51" t="s">
        <v>96</v>
      </c>
    </row>
    <row r="52" spans="3:7" ht="57.6">
      <c r="C52" s="81" t="s">
        <v>87</v>
      </c>
      <c r="D52" s="82"/>
      <c r="E52" s="83" t="s">
        <v>88</v>
      </c>
      <c r="F52" t="s">
        <v>97</v>
      </c>
      <c r="G52">
        <v>1000</v>
      </c>
    </row>
    <row r="53" spans="3:7" ht="15" thickBot="1">
      <c r="C53" s="14" t="s">
        <v>3</v>
      </c>
      <c r="D53" s="18">
        <f>D50+D51</f>
        <v>264000</v>
      </c>
      <c r="E53" s="13"/>
    </row>
    <row r="54" spans="3:7">
      <c r="C54" s="21"/>
      <c r="D54" s="46"/>
      <c r="E54" s="22"/>
    </row>
    <row r="55" spans="3:7">
      <c r="C55" s="2" t="s">
        <v>72</v>
      </c>
      <c r="D55" s="46"/>
      <c r="E55" s="22"/>
    </row>
    <row r="56" spans="3:7" ht="15" thickBot="1">
      <c r="D56" s="46"/>
      <c r="E56" s="22"/>
    </row>
    <row r="57" spans="3:7" ht="31.2">
      <c r="C57" s="23" t="s">
        <v>59</v>
      </c>
      <c r="D57" s="28">
        <v>40817</v>
      </c>
      <c r="E57" s="28">
        <v>43373</v>
      </c>
      <c r="F57" s="24" t="s">
        <v>18</v>
      </c>
      <c r="G57" t="s">
        <v>83</v>
      </c>
    </row>
    <row r="58" spans="3:7">
      <c r="C58" s="30"/>
      <c r="D58" s="29">
        <v>1</v>
      </c>
      <c r="E58" s="29">
        <v>2</v>
      </c>
      <c r="F58" s="31" t="s">
        <v>19</v>
      </c>
    </row>
    <row r="59" spans="3:7" ht="15.6">
      <c r="C59" s="25" t="s">
        <v>13</v>
      </c>
      <c r="D59" s="35">
        <f>E59</f>
        <v>160000</v>
      </c>
      <c r="E59" s="35">
        <f>E20</f>
        <v>160000</v>
      </c>
      <c r="F59" s="32">
        <f>E59-D59</f>
        <v>0</v>
      </c>
    </row>
    <row r="60" spans="3:7" ht="15.6">
      <c r="C60" s="25" t="s">
        <v>25</v>
      </c>
      <c r="D60" s="35">
        <v>80000</v>
      </c>
      <c r="E60" s="35">
        <f>E21</f>
        <v>200000</v>
      </c>
      <c r="F60" s="32">
        <f>E60-D60</f>
        <v>120000</v>
      </c>
    </row>
    <row r="61" spans="3:7" ht="15.6">
      <c r="C61" s="90" t="s">
        <v>57</v>
      </c>
      <c r="D61" s="89">
        <f>SUM(D59:D60)</f>
        <v>240000</v>
      </c>
      <c r="E61" s="89">
        <f>SUM(E59:E60)</f>
        <v>360000</v>
      </c>
      <c r="F61" s="91">
        <f>SUM(F59:F60)</f>
        <v>120000</v>
      </c>
    </row>
    <row r="62" spans="3:7" ht="31.2">
      <c r="C62" s="90" t="s">
        <v>58</v>
      </c>
      <c r="D62" s="89"/>
      <c r="E62" s="89"/>
      <c r="F62" s="91"/>
    </row>
    <row r="63" spans="3:7" ht="15.6">
      <c r="C63" s="25" t="s">
        <v>60</v>
      </c>
      <c r="D63" s="89">
        <f>160000-120000</f>
        <v>40000</v>
      </c>
      <c r="E63" s="89">
        <f>D63-(((160000-60000)-(120000-40000))/40*7)</f>
        <v>36500</v>
      </c>
      <c r="F63" s="32">
        <f t="shared" ref="F63:F66" si="8">E63-D63</f>
        <v>-3500</v>
      </c>
    </row>
    <row r="64" spans="3:7" ht="15.6">
      <c r="C64" s="25" t="s">
        <v>61</v>
      </c>
      <c r="D64" s="89">
        <f>130000-120000</f>
        <v>10000</v>
      </c>
      <c r="E64" s="89">
        <f>D64-D64/2*2</f>
        <v>0</v>
      </c>
      <c r="F64" s="32">
        <f t="shared" si="8"/>
        <v>-10000</v>
      </c>
    </row>
    <row r="65" spans="3:8" ht="15.6">
      <c r="C65" s="90" t="s">
        <v>63</v>
      </c>
      <c r="D65" s="89">
        <f>SUM(D63:D64)</f>
        <v>50000</v>
      </c>
      <c r="E65" s="89">
        <f>SUM(E63:E64)</f>
        <v>36500</v>
      </c>
      <c r="F65" s="95">
        <f>SUM(F63:F64)</f>
        <v>-13500</v>
      </c>
      <c r="G65" t="s">
        <v>66</v>
      </c>
    </row>
    <row r="66" spans="3:8" ht="15.6">
      <c r="C66" s="90" t="s">
        <v>64</v>
      </c>
      <c r="D66" s="89">
        <f>-D65*0.2</f>
        <v>-10000</v>
      </c>
      <c r="E66" s="89">
        <f>-E65*0.2</f>
        <v>-7300</v>
      </c>
      <c r="F66" s="32">
        <f t="shared" si="8"/>
        <v>2700</v>
      </c>
    </row>
    <row r="67" spans="3:8" ht="31.8" thickBot="1">
      <c r="C67" s="94" t="s">
        <v>65</v>
      </c>
      <c r="D67" s="104">
        <f>D61+D65+D66</f>
        <v>280000</v>
      </c>
      <c r="E67" s="104">
        <f>E61+E65+E66</f>
        <v>389200</v>
      </c>
      <c r="F67" s="104">
        <f>F61+F65+F66</f>
        <v>109200</v>
      </c>
      <c r="G67" s="96">
        <f>F67-G68</f>
        <v>109200</v>
      </c>
      <c r="H67" t="s">
        <v>90</v>
      </c>
    </row>
    <row r="68" spans="3:8" ht="15.6">
      <c r="C68" s="92"/>
      <c r="D68" s="93"/>
      <c r="E68" s="93"/>
      <c r="F68" s="93"/>
      <c r="G68" s="96"/>
    </row>
    <row r="69" spans="3:8">
      <c r="E69" s="15"/>
      <c r="G69" s="15"/>
    </row>
    <row r="70" spans="3:8">
      <c r="E70" s="109"/>
    </row>
    <row r="72" spans="3:8">
      <c r="C72" s="2" t="s">
        <v>20</v>
      </c>
    </row>
    <row r="73" spans="3:8">
      <c r="E73" s="15"/>
      <c r="F73" s="15"/>
    </row>
    <row r="74" spans="3:8" ht="15" thickBot="1"/>
    <row r="75" spans="3:8">
      <c r="C75" s="7" t="s">
        <v>0</v>
      </c>
      <c r="D75" s="8" t="s">
        <v>1</v>
      </c>
      <c r="E75" s="9" t="s">
        <v>2</v>
      </c>
    </row>
    <row r="76" spans="3:8">
      <c r="C76" s="5" t="s">
        <v>14</v>
      </c>
      <c r="D76" s="10">
        <f>D53</f>
        <v>264000</v>
      </c>
      <c r="E76" s="6"/>
    </row>
    <row r="77" spans="3:8">
      <c r="C77" s="5" t="s">
        <v>11</v>
      </c>
      <c r="D77" s="10">
        <f>E59*(1-0.75)*1.7</f>
        <v>68000</v>
      </c>
      <c r="E77" s="16"/>
    </row>
    <row r="78" spans="3:8">
      <c r="C78" s="5" t="s">
        <v>15</v>
      </c>
      <c r="D78" s="10">
        <f>D67</f>
        <v>280000</v>
      </c>
      <c r="E78" s="6"/>
    </row>
    <row r="79" spans="3:8">
      <c r="C79" s="20" t="s">
        <v>16</v>
      </c>
      <c r="D79" s="105">
        <f>D76+D77-D78</f>
        <v>52000</v>
      </c>
      <c r="E79" s="16"/>
    </row>
    <row r="80" spans="3:8" ht="43.8" thickBot="1">
      <c r="C80" s="137" t="s">
        <v>17</v>
      </c>
      <c r="D80" s="138">
        <f>D79</f>
        <v>52000</v>
      </c>
      <c r="E80" s="16" t="s">
        <v>62</v>
      </c>
      <c r="F80" t="s">
        <v>224</v>
      </c>
    </row>
    <row r="81" spans="3:5">
      <c r="C81" s="19"/>
      <c r="D81" s="43"/>
      <c r="E81" s="3"/>
    </row>
    <row r="82" spans="3:5">
      <c r="C82" s="47"/>
      <c r="D82" s="3"/>
    </row>
    <row r="83" spans="3:5">
      <c r="C83" s="97" t="s">
        <v>70</v>
      </c>
      <c r="E83" s="3"/>
    </row>
    <row r="85" spans="3:5" ht="15" thickBot="1"/>
    <row r="86" spans="3:5">
      <c r="C86" s="7" t="s">
        <v>0</v>
      </c>
      <c r="D86" s="8" t="s">
        <v>1</v>
      </c>
      <c r="E86" s="9" t="s">
        <v>2</v>
      </c>
    </row>
    <row r="87" spans="3:5" ht="28.8">
      <c r="C87" s="45" t="s">
        <v>26</v>
      </c>
      <c r="D87" s="10">
        <f>D77</f>
        <v>68000</v>
      </c>
      <c r="E87" s="16" t="s">
        <v>71</v>
      </c>
    </row>
    <row r="88" spans="3:5" ht="43.2">
      <c r="C88" s="44" t="s">
        <v>27</v>
      </c>
      <c r="D88" s="10">
        <f>F67*0.25</f>
        <v>27300</v>
      </c>
      <c r="E88" s="16" t="s">
        <v>91</v>
      </c>
    </row>
    <row r="89" spans="3:5" ht="43.8" thickBot="1">
      <c r="C89" s="139" t="s">
        <v>28</v>
      </c>
      <c r="D89" s="138">
        <f>SUM(D87:D88)</f>
        <v>95300</v>
      </c>
      <c r="E89" s="140" t="s">
        <v>92</v>
      </c>
    </row>
    <row r="93" spans="3:5">
      <c r="C93" s="2" t="s">
        <v>69</v>
      </c>
    </row>
    <row r="94" spans="3:5" ht="15" thickBot="1"/>
    <row r="95" spans="3:5" ht="31.2">
      <c r="C95" s="38" t="s">
        <v>22</v>
      </c>
      <c r="D95" s="39" t="s">
        <v>1</v>
      </c>
      <c r="E95" s="2" t="s">
        <v>2</v>
      </c>
    </row>
    <row r="96" spans="3:5" ht="15.6">
      <c r="C96" s="40" t="s">
        <v>23</v>
      </c>
      <c r="D96" s="106">
        <f>D21</f>
        <v>693000</v>
      </c>
    </row>
    <row r="97" spans="3:6" ht="115.2">
      <c r="C97" s="40" t="s">
        <v>93</v>
      </c>
      <c r="D97" s="106">
        <f>-1000</f>
        <v>-1000</v>
      </c>
      <c r="E97" s="15" t="s">
        <v>94</v>
      </c>
    </row>
    <row r="98" spans="3:6" ht="46.8">
      <c r="C98" s="40" t="s">
        <v>56</v>
      </c>
      <c r="D98" s="106">
        <f>G67*0.75</f>
        <v>81900</v>
      </c>
      <c r="E98" s="2" t="s">
        <v>21</v>
      </c>
    </row>
    <row r="99" spans="3:6" ht="15.6">
      <c r="C99" s="87" t="s">
        <v>55</v>
      </c>
      <c r="D99" s="88">
        <f>D148</f>
        <v>6000</v>
      </c>
      <c r="E99" t="s">
        <v>106</v>
      </c>
    </row>
    <row r="100" spans="3:6" ht="46.8">
      <c r="C100" s="149" t="s">
        <v>232</v>
      </c>
      <c r="D100" s="121">
        <f>-(D114-D113)</f>
        <v>-68000</v>
      </c>
    </row>
    <row r="101" spans="3:6" ht="31.2">
      <c r="C101" s="122" t="s">
        <v>233</v>
      </c>
      <c r="D101" s="121">
        <f>(E118-D118)*0.8</f>
        <v>55200</v>
      </c>
    </row>
    <row r="102" spans="3:6" ht="31.2">
      <c r="C102" s="122" t="s">
        <v>120</v>
      </c>
      <c r="D102" s="121">
        <f>D125</f>
        <v>12800</v>
      </c>
    </row>
    <row r="103" spans="3:6" ht="31.2">
      <c r="C103" s="148" t="s">
        <v>67</v>
      </c>
      <c r="D103" s="88"/>
    </row>
    <row r="104" spans="3:6" ht="28.8">
      <c r="C104" s="87" t="s">
        <v>34</v>
      </c>
      <c r="D104" s="88">
        <f>-15000*25/125</f>
        <v>-3000</v>
      </c>
      <c r="E104" s="107" t="s">
        <v>121</v>
      </c>
      <c r="F104" s="107" t="s">
        <v>73</v>
      </c>
    </row>
    <row r="105" spans="3:6" ht="31.2">
      <c r="C105" s="87" t="s">
        <v>123</v>
      </c>
      <c r="D105" s="88">
        <f>-D155</f>
        <v>-8120</v>
      </c>
      <c r="E105" s="164" t="s">
        <v>129</v>
      </c>
    </row>
    <row r="106" spans="3:6" ht="31.2">
      <c r="C106" s="87" t="s">
        <v>124</v>
      </c>
      <c r="D106" s="88">
        <f>-D159</f>
        <v>-3860</v>
      </c>
      <c r="E106" s="164"/>
    </row>
    <row r="107" spans="3:6" ht="15.6">
      <c r="C107" s="87" t="s">
        <v>229</v>
      </c>
      <c r="D107" s="88">
        <v>14000</v>
      </c>
    </row>
    <row r="108" spans="3:6" ht="16.2" thickBot="1">
      <c r="C108" s="41" t="s">
        <v>24</v>
      </c>
      <c r="D108" s="42">
        <f>SUM(D96:D107)</f>
        <v>778920</v>
      </c>
    </row>
    <row r="109" spans="3:6" ht="15.6">
      <c r="C109" s="97"/>
      <c r="D109" s="98"/>
    </row>
    <row r="111" spans="3:6">
      <c r="C111" s="2" t="s">
        <v>98</v>
      </c>
      <c r="D111" t="s">
        <v>135</v>
      </c>
    </row>
    <row r="112" spans="3:6">
      <c r="E112" t="s">
        <v>108</v>
      </c>
      <c r="F112" s="111">
        <v>0.8</v>
      </c>
    </row>
    <row r="113" spans="1:6">
      <c r="C113" s="114" t="s">
        <v>107</v>
      </c>
      <c r="D113" s="114">
        <f>80000*1.4</f>
        <v>112000</v>
      </c>
      <c r="E113" s="114" t="s">
        <v>109</v>
      </c>
      <c r="F113" s="108">
        <v>41183</v>
      </c>
    </row>
    <row r="114" spans="1:6">
      <c r="C114" s="19" t="s">
        <v>118</v>
      </c>
      <c r="D114" s="115">
        <v>180000</v>
      </c>
      <c r="E114" s="19" t="s">
        <v>110</v>
      </c>
      <c r="F114" s="108">
        <v>43281</v>
      </c>
    </row>
    <row r="115" spans="1:6">
      <c r="C115" s="103"/>
      <c r="D115" s="19"/>
      <c r="E115" s="19" t="s">
        <v>111</v>
      </c>
      <c r="F115" s="108">
        <v>43373</v>
      </c>
    </row>
    <row r="116" spans="1:6">
      <c r="C116" s="103"/>
      <c r="D116" s="19"/>
      <c r="E116" s="19"/>
      <c r="F116" s="108"/>
    </row>
    <row r="117" spans="1:6">
      <c r="D117" s="114" t="s">
        <v>113</v>
      </c>
      <c r="E117" s="114" t="s">
        <v>114</v>
      </c>
      <c r="F117" s="108"/>
    </row>
    <row r="118" spans="1:6" ht="100.8">
      <c r="C118" s="116" t="s">
        <v>112</v>
      </c>
      <c r="D118" s="19">
        <f>110000</f>
        <v>110000</v>
      </c>
      <c r="E118" s="150">
        <f>170000+24000*9/12-9000</f>
        <v>179000</v>
      </c>
      <c r="F118" s="157" t="s">
        <v>248</v>
      </c>
    </row>
    <row r="119" spans="1:6">
      <c r="C119" s="103" t="s">
        <v>115</v>
      </c>
      <c r="D119" s="19">
        <f>100000*1.1*0.2</f>
        <v>22000.000000000004</v>
      </c>
      <c r="E119" s="19"/>
      <c r="F119" s="108"/>
    </row>
    <row r="120" spans="1:6">
      <c r="C120" s="116" t="s">
        <v>6</v>
      </c>
      <c r="D120" s="114">
        <f>D113+D119-D118</f>
        <v>24000</v>
      </c>
      <c r="E120" s="19"/>
      <c r="F120" s="108"/>
    </row>
    <row r="121" spans="1:6">
      <c r="C121" s="103"/>
      <c r="D121" s="19"/>
      <c r="E121" s="19"/>
      <c r="F121" s="108"/>
    </row>
    <row r="122" spans="1:6">
      <c r="C122" s="103" t="s">
        <v>237</v>
      </c>
      <c r="D122" s="19">
        <f>(E118-D118)*0.2</f>
        <v>13800</v>
      </c>
      <c r="E122" s="19"/>
      <c r="F122" s="108"/>
    </row>
    <row r="123" spans="1:6">
      <c r="C123" s="116" t="s">
        <v>116</v>
      </c>
      <c r="D123" s="114">
        <f>D119+D122</f>
        <v>35800</v>
      </c>
      <c r="E123" s="19"/>
      <c r="F123" s="108"/>
    </row>
    <row r="124" spans="1:6">
      <c r="C124" s="103" t="s">
        <v>238</v>
      </c>
      <c r="D124">
        <f>E118</f>
        <v>179000</v>
      </c>
      <c r="E124" s="19"/>
      <c r="F124" s="108"/>
    </row>
    <row r="125" spans="1:6" ht="28.8">
      <c r="C125" s="116" t="s">
        <v>117</v>
      </c>
      <c r="D125" s="147">
        <f>D114-D124+D123-D120</f>
        <v>12800</v>
      </c>
      <c r="E125" s="19" t="s">
        <v>119</v>
      </c>
      <c r="F125" s="108"/>
    </row>
    <row r="126" spans="1:6" s="109" customFormat="1">
      <c r="A126" s="151"/>
      <c r="C126" s="116"/>
      <c r="D126" s="152"/>
      <c r="E126" s="19"/>
      <c r="F126" s="153"/>
    </row>
    <row r="127" spans="1:6" s="109" customFormat="1">
      <c r="A127" s="151"/>
      <c r="C127" t="s">
        <v>234</v>
      </c>
      <c r="D127">
        <v>180000</v>
      </c>
      <c r="E127"/>
    </row>
    <row r="128" spans="1:6" s="109" customFormat="1">
      <c r="A128" s="151"/>
      <c r="C128" t="s">
        <v>235</v>
      </c>
      <c r="D128">
        <f>D123</f>
        <v>35800</v>
      </c>
      <c r="E128"/>
    </row>
    <row r="129" spans="1:6" s="109" customFormat="1">
      <c r="A129" s="151"/>
      <c r="C129" t="s">
        <v>236</v>
      </c>
      <c r="D129">
        <v>24000</v>
      </c>
      <c r="E129"/>
    </row>
    <row r="130" spans="1:6" s="109" customFormat="1">
      <c r="A130" s="151"/>
      <c r="C130" t="s">
        <v>245</v>
      </c>
      <c r="D130" s="109">
        <f>D118</f>
        <v>110000</v>
      </c>
      <c r="E130">
        <f>E118</f>
        <v>179000</v>
      </c>
      <c r="F130"/>
    </row>
    <row r="131" spans="1:6" s="109" customFormat="1">
      <c r="A131" s="151"/>
      <c r="C131" t="s">
        <v>246</v>
      </c>
      <c r="D131">
        <f>E118-D118</f>
        <v>69000</v>
      </c>
      <c r="E131"/>
      <c r="F131"/>
    </row>
    <row r="132" spans="1:6" s="109" customFormat="1">
      <c r="A132" s="151"/>
      <c r="C132" s="116" t="s">
        <v>240</v>
      </c>
      <c r="D132" s="152">
        <f>C135</f>
        <v>12800</v>
      </c>
      <c r="E132" s="19"/>
      <c r="F132" s="153"/>
    </row>
    <row r="133" spans="1:6" s="109" customFormat="1">
      <c r="A133" s="151"/>
      <c r="C133" s="154">
        <f>D127+D128</f>
        <v>215800</v>
      </c>
      <c r="D133" t="s">
        <v>241</v>
      </c>
      <c r="E133" s="19"/>
      <c r="F133" s="153"/>
    </row>
    <row r="134" spans="1:6" s="109" customFormat="1">
      <c r="A134" s="151"/>
      <c r="C134" s="154">
        <f>D129+E130</f>
        <v>203000</v>
      </c>
      <c r="D134" t="s">
        <v>242</v>
      </c>
      <c r="E134" s="19"/>
      <c r="F134" s="153"/>
    </row>
    <row r="135" spans="1:6" s="109" customFormat="1">
      <c r="A135" s="151"/>
      <c r="C135" s="155">
        <f>C133-C134</f>
        <v>12800</v>
      </c>
      <c r="D135" s="2" t="s">
        <v>239</v>
      </c>
      <c r="E135" s="19"/>
      <c r="F135" s="153"/>
    </row>
    <row r="136" spans="1:6" s="109" customFormat="1">
      <c r="A136" s="151"/>
      <c r="C136" s="155"/>
      <c r="D136" s="2"/>
      <c r="E136" s="19"/>
      <c r="F136" s="153"/>
    </row>
    <row r="137" spans="1:6" s="109" customFormat="1">
      <c r="A137" s="151"/>
      <c r="C137" s="155" t="s">
        <v>247</v>
      </c>
      <c r="D137" s="2"/>
      <c r="E137" s="19"/>
      <c r="F137" s="153"/>
    </row>
    <row r="138" spans="1:6" s="109" customFormat="1">
      <c r="A138" s="151"/>
      <c r="C138" s="155" t="s">
        <v>234</v>
      </c>
      <c r="D138" s="2">
        <v>180000</v>
      </c>
      <c r="E138" s="19"/>
      <c r="F138" s="153"/>
    </row>
    <row r="139" spans="1:6" s="109" customFormat="1">
      <c r="A139" s="151"/>
      <c r="C139" s="19" t="s">
        <v>243</v>
      </c>
      <c r="D139" s="19">
        <f>D113</f>
        <v>112000</v>
      </c>
      <c r="E139" s="19"/>
    </row>
    <row r="140" spans="1:6" s="109" customFormat="1">
      <c r="A140" s="151"/>
      <c r="C140" s="156" t="s">
        <v>244</v>
      </c>
      <c r="D140" s="152">
        <f>D138-D139</f>
        <v>68000</v>
      </c>
      <c r="E140" s="19"/>
    </row>
    <row r="141" spans="1:6" s="109" customFormat="1">
      <c r="A141" s="151"/>
      <c r="C141" s="156"/>
      <c r="D141" s="115"/>
      <c r="E141" s="19"/>
    </row>
    <row r="142" spans="1:6" s="109" customFormat="1">
      <c r="A142" s="151"/>
      <c r="C142" s="156"/>
      <c r="D142" s="115"/>
      <c r="E142" s="19"/>
    </row>
    <row r="143" spans="1:6" s="109" customFormat="1">
      <c r="A143" s="151"/>
      <c r="C143" s="156"/>
      <c r="D143" s="115"/>
      <c r="E143" s="19"/>
    </row>
    <row r="144" spans="1:6" s="109" customFormat="1">
      <c r="A144" s="151"/>
      <c r="C144" s="19"/>
    </row>
    <row r="145" spans="3:7">
      <c r="C145" s="2" t="s">
        <v>101</v>
      </c>
    </row>
    <row r="147" spans="3:7">
      <c r="C147" s="118" t="s">
        <v>102</v>
      </c>
      <c r="D147" s="97">
        <f>145000</f>
        <v>145000</v>
      </c>
      <c r="E147" s="97"/>
    </row>
    <row r="148" spans="3:7" ht="21.6">
      <c r="C148" s="118" t="s">
        <v>103</v>
      </c>
      <c r="D148" s="3">
        <f>(65000-45000)*0.3</f>
        <v>6000</v>
      </c>
      <c r="E148" s="3"/>
    </row>
    <row r="149" spans="3:7" ht="31.8">
      <c r="C149" s="118" t="s">
        <v>104</v>
      </c>
      <c r="D149" s="3"/>
      <c r="E149" s="3"/>
    </row>
    <row r="150" spans="3:7" ht="31.8">
      <c r="C150" s="119" t="s">
        <v>105</v>
      </c>
      <c r="D150" s="97">
        <f>SUM(D147:D149)</f>
        <v>151000</v>
      </c>
      <c r="E150" s="3"/>
    </row>
    <row r="151" spans="3:7">
      <c r="C151" s="47"/>
      <c r="D151" s="3"/>
      <c r="E151" s="3"/>
      <c r="F151" s="3"/>
    </row>
    <row r="152" spans="3:7">
      <c r="C152" s="103"/>
      <c r="D152" s="3"/>
      <c r="E152" s="3"/>
      <c r="F152" s="3"/>
    </row>
    <row r="153" spans="3:7">
      <c r="C153" s="2" t="s">
        <v>68</v>
      </c>
      <c r="D153" s="3"/>
      <c r="E153" s="3"/>
      <c r="F153" s="3"/>
    </row>
    <row r="154" spans="3:7" ht="28.8">
      <c r="C154" s="143" t="s">
        <v>125</v>
      </c>
      <c r="D154" s="144">
        <f>77200+4000</f>
        <v>81200</v>
      </c>
      <c r="E154" s="97" t="s">
        <v>133</v>
      </c>
      <c r="F154" s="3"/>
    </row>
    <row r="155" spans="3:7" ht="28.8">
      <c r="C155" s="145" t="s">
        <v>127</v>
      </c>
      <c r="D155" s="10">
        <f>D154/10</f>
        <v>8120</v>
      </c>
      <c r="E155" s="3" t="s">
        <v>128</v>
      </c>
      <c r="F155" s="3"/>
    </row>
    <row r="156" spans="3:7" ht="28.8">
      <c r="C156" s="143" t="s">
        <v>126</v>
      </c>
      <c r="D156" s="144">
        <f>D154-D155</f>
        <v>73080</v>
      </c>
      <c r="E156" s="97" t="s">
        <v>227</v>
      </c>
    </row>
    <row r="157" spans="3:7" ht="28.8">
      <c r="C157" s="143" t="s">
        <v>228</v>
      </c>
      <c r="D157" s="10">
        <f>10000*7.72</f>
        <v>77200</v>
      </c>
      <c r="E157" s="3"/>
      <c r="F157" s="96">
        <f>D158-(D158+D158*5%-10000)</f>
        <v>6447</v>
      </c>
      <c r="G157" s="2" t="s">
        <v>230</v>
      </c>
    </row>
    <row r="158" spans="3:7" ht="28.8">
      <c r="C158" s="143" t="s">
        <v>130</v>
      </c>
      <c r="D158" s="144">
        <f>10000*7.72+ 10000*7.72*5%-10000</f>
        <v>71060</v>
      </c>
      <c r="E158" s="3"/>
    </row>
    <row r="159" spans="3:7" ht="43.2">
      <c r="C159" s="146" t="s">
        <v>131</v>
      </c>
      <c r="D159" s="10">
        <f>D157*5%</f>
        <v>3860</v>
      </c>
      <c r="E159" s="141" t="s">
        <v>132</v>
      </c>
      <c r="F159" s="96">
        <f>D158-F157</f>
        <v>64613</v>
      </c>
      <c r="G159" s="2" t="s">
        <v>231</v>
      </c>
    </row>
    <row r="160" spans="3:7">
      <c r="C160" s="3"/>
      <c r="D160" s="3"/>
      <c r="E160" s="3"/>
    </row>
    <row r="161" spans="3:5">
      <c r="C161" s="3"/>
      <c r="D161" s="3"/>
      <c r="E161" s="3"/>
    </row>
    <row r="162" spans="3:5">
      <c r="C162" s="3"/>
      <c r="D162" s="3"/>
      <c r="E162" s="3"/>
    </row>
    <row r="163" spans="3:5">
      <c r="C163" s="97"/>
      <c r="D163" s="97"/>
      <c r="E163" s="97"/>
    </row>
    <row r="164" spans="3:5">
      <c r="C164" s="47"/>
      <c r="D164" s="3"/>
      <c r="E164" s="3"/>
    </row>
    <row r="165" spans="3:5">
      <c r="C165" s="47"/>
      <c r="D165" s="3"/>
      <c r="E165" s="3"/>
    </row>
    <row r="166" spans="3:5">
      <c r="C166" s="47"/>
      <c r="D166" s="3"/>
      <c r="E166" s="3"/>
    </row>
    <row r="167" spans="3:5">
      <c r="C167" s="103"/>
      <c r="D167" s="3"/>
      <c r="E167" s="3"/>
    </row>
    <row r="168" spans="3:5">
      <c r="C168" s="103"/>
      <c r="D168" s="3"/>
      <c r="E168" s="3"/>
    </row>
    <row r="169" spans="3:5">
      <c r="C169" s="103"/>
      <c r="D169" s="3"/>
      <c r="E169" s="3"/>
    </row>
    <row r="170" spans="3:5">
      <c r="C170" s="3"/>
      <c r="D170" s="3"/>
      <c r="E170" s="3"/>
    </row>
  </sheetData>
  <mergeCells count="1">
    <mergeCell ref="E105:E10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88"/>
  <sheetViews>
    <sheetView tabSelected="1" topLeftCell="A68" workbookViewId="0">
      <selection activeCell="G69" sqref="G69"/>
    </sheetView>
  </sheetViews>
  <sheetFormatPr defaultRowHeight="14.4"/>
  <cols>
    <col min="1" max="1" width="19.6640625" customWidth="1"/>
    <col min="7" max="7" width="10.109375" bestFit="1" customWidth="1"/>
    <col min="8" max="8" width="11" customWidth="1"/>
  </cols>
  <sheetData>
    <row r="1" spans="1:10">
      <c r="A1" s="48" t="s">
        <v>136</v>
      </c>
      <c r="B1" s="123"/>
      <c r="D1" s="48" t="s">
        <v>150</v>
      </c>
    </row>
    <row r="2" spans="1:10">
      <c r="A2" s="108">
        <v>43191</v>
      </c>
      <c r="B2" t="s">
        <v>137</v>
      </c>
    </row>
    <row r="3" spans="1:10">
      <c r="A3" t="s">
        <v>138</v>
      </c>
      <c r="F3">
        <v>20000</v>
      </c>
      <c r="G3" t="s">
        <v>139</v>
      </c>
    </row>
    <row r="7" spans="1:10">
      <c r="E7">
        <v>12600</v>
      </c>
      <c r="G7">
        <v>7400</v>
      </c>
    </row>
    <row r="8" spans="1:10">
      <c r="E8" t="s">
        <v>140</v>
      </c>
      <c r="G8" s="108">
        <v>43373</v>
      </c>
    </row>
    <row r="10" spans="1:10" ht="69.75" customHeight="1">
      <c r="A10" s="165" t="s">
        <v>141</v>
      </c>
      <c r="B10" s="165"/>
      <c r="C10" s="165"/>
      <c r="D10" s="165"/>
      <c r="E10" s="165"/>
      <c r="F10" s="165"/>
      <c r="G10" s="165"/>
      <c r="H10" s="165"/>
      <c r="I10" s="165"/>
      <c r="J10" s="165"/>
    </row>
    <row r="11" spans="1:10" ht="59.25" customHeight="1">
      <c r="A11" s="165" t="s">
        <v>142</v>
      </c>
      <c r="B11" s="165"/>
      <c r="C11" s="165"/>
      <c r="D11" s="165"/>
      <c r="E11" s="165"/>
      <c r="F11" s="165"/>
      <c r="G11" s="165"/>
      <c r="H11" s="165"/>
      <c r="I11" s="165"/>
      <c r="J11" s="165"/>
    </row>
    <row r="12" spans="1:10">
      <c r="A12" s="158" t="s">
        <v>252</v>
      </c>
      <c r="B12" s="158"/>
      <c r="C12" s="158"/>
      <c r="D12" s="158"/>
      <c r="E12" s="158">
        <f>F3/10</f>
        <v>2000</v>
      </c>
    </row>
    <row r="13" spans="1:10">
      <c r="A13" t="s">
        <v>143</v>
      </c>
      <c r="E13" s="158"/>
      <c r="F13" s="131"/>
    </row>
    <row r="14" spans="1:10">
      <c r="A14" s="2" t="s">
        <v>251</v>
      </c>
      <c r="B14" s="2"/>
      <c r="C14" s="2"/>
      <c r="D14" s="2"/>
      <c r="E14" s="2"/>
      <c r="F14" s="2"/>
      <c r="G14" s="2"/>
      <c r="H14" s="2">
        <v>250</v>
      </c>
    </row>
    <row r="15" spans="1:10">
      <c r="A15" s="165" t="s">
        <v>249</v>
      </c>
      <c r="B15" s="165"/>
      <c r="C15" s="165"/>
      <c r="D15" s="165"/>
      <c r="E15" s="165"/>
      <c r="F15" s="165"/>
      <c r="G15" s="165"/>
      <c r="H15" s="165"/>
      <c r="I15" s="165"/>
    </row>
    <row r="16" spans="1:10">
      <c r="A16" s="165"/>
      <c r="B16" s="165"/>
      <c r="C16" s="165"/>
      <c r="D16" s="165"/>
      <c r="E16" s="165"/>
      <c r="F16" s="165"/>
      <c r="G16" s="165"/>
      <c r="H16" s="165"/>
      <c r="I16" s="165"/>
    </row>
    <row r="17" spans="1:15">
      <c r="A17" s="165"/>
      <c r="B17" s="165"/>
      <c r="C17" s="165"/>
      <c r="D17" s="165"/>
      <c r="E17" s="165"/>
      <c r="F17" s="165"/>
      <c r="G17" s="165"/>
      <c r="H17" s="165"/>
      <c r="I17" s="165"/>
    </row>
    <row r="18" spans="1:15">
      <c r="A18" s="2" t="s">
        <v>250</v>
      </c>
      <c r="B18" s="2"/>
      <c r="C18" s="2"/>
      <c r="D18" s="2"/>
      <c r="E18" s="2"/>
      <c r="F18" s="2"/>
      <c r="G18" s="2"/>
      <c r="H18" s="2"/>
      <c r="I18" s="2"/>
    </row>
    <row r="29" spans="1:15">
      <c r="A29" s="165" t="s">
        <v>260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</row>
    <row r="30" spans="1:15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</row>
    <row r="31" spans="1:15">
      <c r="A31" s="165"/>
      <c r="B31" s="165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</row>
    <row r="32" spans="1:15">
      <c r="A32" s="165"/>
      <c r="B32" s="165"/>
      <c r="C32" s="165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</row>
    <row r="33" spans="1:1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1:15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</row>
    <row r="35" spans="1:15">
      <c r="A35" t="s">
        <v>151</v>
      </c>
    </row>
    <row r="36" spans="1:15">
      <c r="A36" t="s">
        <v>152</v>
      </c>
    </row>
    <row r="38" spans="1:15">
      <c r="A38" t="s">
        <v>153</v>
      </c>
      <c r="G38">
        <f>3000*0.681</f>
        <v>2043.0000000000002</v>
      </c>
      <c r="H38" t="s">
        <v>139</v>
      </c>
    </row>
    <row r="39" spans="1:15">
      <c r="G39" s="159">
        <f>G38/10</f>
        <v>204.3</v>
      </c>
      <c r="H39" s="2" t="s">
        <v>144</v>
      </c>
      <c r="I39" t="s">
        <v>154</v>
      </c>
    </row>
    <row r="40" spans="1:15">
      <c r="G40" s="159"/>
      <c r="H40" s="2"/>
    </row>
    <row r="41" spans="1:15">
      <c r="G41" s="159"/>
      <c r="H41" s="2"/>
    </row>
    <row r="42" spans="1:15">
      <c r="A42" s="2" t="s">
        <v>155</v>
      </c>
    </row>
    <row r="43" spans="1:15">
      <c r="A43" t="s">
        <v>156</v>
      </c>
      <c r="G43" s="96">
        <f>G39</f>
        <v>204.3</v>
      </c>
    </row>
    <row r="45" spans="1:15">
      <c r="A45" s="2" t="s">
        <v>253</v>
      </c>
      <c r="G45" s="96"/>
    </row>
    <row r="46" spans="1:15">
      <c r="A46" s="96">
        <f>E12+H14+G39</f>
        <v>2454.3000000000002</v>
      </c>
      <c r="G46" s="96"/>
    </row>
    <row r="47" spans="1:15">
      <c r="A47" t="s">
        <v>254</v>
      </c>
      <c r="G47" s="96"/>
    </row>
    <row r="48" spans="1:15">
      <c r="A48" t="s">
        <v>145</v>
      </c>
      <c r="C48" t="s">
        <v>146</v>
      </c>
    </row>
    <row r="49" spans="1:14">
      <c r="A49" t="s">
        <v>147</v>
      </c>
    </row>
    <row r="51" spans="1:14">
      <c r="A51" s="2" t="s">
        <v>255</v>
      </c>
      <c r="B51" s="160">
        <f>A46/5*6/12</f>
        <v>245.42999999999998</v>
      </c>
      <c r="C51" t="s">
        <v>256</v>
      </c>
    </row>
    <row r="52" spans="1:14">
      <c r="F52" s="96"/>
    </row>
    <row r="53" spans="1:14">
      <c r="F53" s="96"/>
    </row>
    <row r="54" spans="1:14">
      <c r="A54" s="2" t="s">
        <v>257</v>
      </c>
      <c r="D54" s="161">
        <f>A46-B51</f>
        <v>2208.8700000000003</v>
      </c>
    </row>
    <row r="57" spans="1:14">
      <c r="A57" t="s">
        <v>258</v>
      </c>
    </row>
    <row r="58" spans="1:14">
      <c r="A58" t="s">
        <v>148</v>
      </c>
      <c r="F58">
        <f>G7</f>
        <v>7400</v>
      </c>
    </row>
    <row r="59" spans="1:14">
      <c r="A59" s="158" t="s">
        <v>149</v>
      </c>
      <c r="B59" s="158"/>
      <c r="C59" s="158"/>
      <c r="D59" s="158"/>
      <c r="E59" s="158"/>
      <c r="F59" s="158">
        <f>F58/8</f>
        <v>925</v>
      </c>
    </row>
    <row r="60" spans="1:14">
      <c r="A60" t="s">
        <v>259</v>
      </c>
      <c r="F60" s="96"/>
    </row>
    <row r="61" spans="1:14">
      <c r="F61" s="96"/>
    </row>
    <row r="62" spans="1:14">
      <c r="A62" t="s">
        <v>261</v>
      </c>
      <c r="F62" s="96"/>
    </row>
    <row r="63" spans="1:14">
      <c r="A63" s="166" t="s">
        <v>157</v>
      </c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96">
        <f>G38*8%*6/12</f>
        <v>81.720000000000013</v>
      </c>
      <c r="M63" t="s">
        <v>139</v>
      </c>
    </row>
    <row r="64" spans="1:14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96">
        <f>L63/9.2</f>
        <v>8.8826086956521753</v>
      </c>
      <c r="M64" t="s">
        <v>144</v>
      </c>
      <c r="N64" t="s">
        <v>262</v>
      </c>
    </row>
    <row r="66" spans="1:15">
      <c r="A66" t="s">
        <v>158</v>
      </c>
      <c r="F66" s="96">
        <f>G38+L63</f>
        <v>2124.7200000000003</v>
      </c>
      <c r="G66" t="s">
        <v>263</v>
      </c>
    </row>
    <row r="67" spans="1:15">
      <c r="F67" s="96">
        <f>F66/8</f>
        <v>265.59000000000003</v>
      </c>
      <c r="G67" t="s">
        <v>264</v>
      </c>
    </row>
    <row r="68" spans="1:15">
      <c r="A68" t="s">
        <v>265</v>
      </c>
      <c r="F68" s="96">
        <f>G43+L64-F67</f>
        <v>-52.40739130434784</v>
      </c>
      <c r="G68" t="s">
        <v>266</v>
      </c>
    </row>
    <row r="69" spans="1:15">
      <c r="F69" s="96"/>
    </row>
    <row r="70" spans="1:15">
      <c r="F70" s="96"/>
    </row>
    <row r="71" spans="1:15">
      <c r="F71" s="96"/>
    </row>
    <row r="73" spans="1:15">
      <c r="A73" s="48" t="s">
        <v>159</v>
      </c>
      <c r="B73" s="123"/>
    </row>
    <row r="75" spans="1:15">
      <c r="A75" t="s">
        <v>160</v>
      </c>
    </row>
    <row r="76" spans="1:15">
      <c r="A76" s="165" t="s">
        <v>161</v>
      </c>
      <c r="B76" s="165"/>
      <c r="C76" s="165"/>
      <c r="D76" s="165"/>
      <c r="E76" s="165"/>
      <c r="F76" s="165"/>
      <c r="G76" s="165"/>
      <c r="H76" s="165"/>
      <c r="I76" s="165"/>
      <c r="J76" s="165"/>
      <c r="K76" s="165"/>
      <c r="L76" s="165"/>
      <c r="M76" s="165"/>
      <c r="N76" s="165"/>
      <c r="O76" s="165"/>
    </row>
    <row r="77" spans="1:15">
      <c r="A77" s="165"/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</row>
    <row r="78" spans="1:15">
      <c r="A78" s="165"/>
      <c r="B78" s="165"/>
      <c r="C78" s="165"/>
      <c r="D78" s="165"/>
      <c r="E78" s="165"/>
      <c r="F78" s="165"/>
      <c r="G78" s="165"/>
      <c r="H78" s="165"/>
      <c r="I78" s="165"/>
      <c r="J78" s="165"/>
      <c r="K78" s="165"/>
      <c r="L78" s="165"/>
      <c r="M78" s="165"/>
      <c r="N78" s="165"/>
      <c r="O78" s="165"/>
    </row>
    <row r="80" spans="1:15">
      <c r="A80" t="s">
        <v>162</v>
      </c>
      <c r="C80">
        <v>2500</v>
      </c>
      <c r="D80" t="s">
        <v>144</v>
      </c>
      <c r="F80" t="s">
        <v>165</v>
      </c>
    </row>
    <row r="81" spans="1:15">
      <c r="A81" t="s">
        <v>163</v>
      </c>
      <c r="D81" s="96">
        <f>A46-B51</f>
        <v>2208.8700000000003</v>
      </c>
    </row>
    <row r="83" spans="1:15">
      <c r="A83" t="s">
        <v>164</v>
      </c>
    </row>
    <row r="85" spans="1:15">
      <c r="A85" t="s">
        <v>166</v>
      </c>
    </row>
    <row r="86" spans="1:15">
      <c r="A86" s="165" t="s">
        <v>167</v>
      </c>
      <c r="B86" s="165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</row>
    <row r="87" spans="1:15">
      <c r="A87" s="165"/>
      <c r="B87" s="165"/>
      <c r="C87" s="165"/>
      <c r="D87" s="165"/>
      <c r="E87" s="165"/>
      <c r="F87" s="165"/>
      <c r="G87" s="165"/>
      <c r="H87" s="165"/>
      <c r="I87" s="165"/>
      <c r="J87" s="165"/>
      <c r="K87" s="165"/>
      <c r="L87" s="165"/>
      <c r="M87" s="165"/>
      <c r="N87" s="165"/>
      <c r="O87" s="165"/>
    </row>
    <row r="88" spans="1:15">
      <c r="A88" s="165"/>
      <c r="B88" s="165"/>
      <c r="C88" s="165"/>
      <c r="D88" s="165"/>
      <c r="E88" s="165"/>
      <c r="F88" s="165"/>
      <c r="G88" s="165"/>
      <c r="H88" s="165"/>
      <c r="I88" s="165"/>
      <c r="J88" s="165"/>
      <c r="K88" s="165"/>
      <c r="L88" s="165"/>
      <c r="M88" s="165"/>
      <c r="N88" s="165"/>
      <c r="O88" s="165"/>
    </row>
  </sheetData>
  <mergeCells count="7">
    <mergeCell ref="A15:I17"/>
    <mergeCell ref="A29:O32"/>
    <mergeCell ref="A76:O78"/>
    <mergeCell ref="A86:O88"/>
    <mergeCell ref="A10:J10"/>
    <mergeCell ref="A11:J11"/>
    <mergeCell ref="A63:K6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88"/>
  <sheetViews>
    <sheetView topLeftCell="A75" zoomScale="85" zoomScaleNormal="85" workbookViewId="0">
      <selection activeCell="H79" sqref="H79"/>
    </sheetView>
  </sheetViews>
  <sheetFormatPr defaultRowHeight="14.4"/>
  <cols>
    <col min="1" max="1" width="10.33203125" bestFit="1" customWidth="1"/>
    <col min="2" max="2" width="12" customWidth="1"/>
    <col min="3" max="4" width="10.33203125" bestFit="1" customWidth="1"/>
  </cols>
  <sheetData>
    <row r="1" spans="1:12">
      <c r="A1" s="2" t="s">
        <v>168</v>
      </c>
    </row>
    <row r="2" spans="1:12">
      <c r="A2" s="168" t="s">
        <v>169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</row>
    <row r="3" spans="1:12">
      <c r="A3" s="168"/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</row>
    <row r="4" spans="1:12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</row>
    <row r="5" spans="1:12">
      <c r="A5" s="168"/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</row>
    <row r="6" spans="1:12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2">
      <c r="A7" s="168"/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</row>
    <row r="8" spans="1:12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</row>
    <row r="9" spans="1:12">
      <c r="A9" s="168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</row>
    <row r="10" spans="1:12">
      <c r="A10" s="126" t="s">
        <v>181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ht="62.25" customHeight="1">
      <c r="A11" s="170" t="s">
        <v>182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</row>
    <row r="12" spans="1:12" ht="128.25" hidden="1" customHeight="1">
      <c r="A12" s="170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</row>
    <row r="13" spans="1:12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2">
      <c r="A14" s="126" t="s">
        <v>183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5" spans="1:12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</row>
    <row r="16" spans="1:12">
      <c r="A16" s="168" t="s">
        <v>177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8"/>
      <c r="L16" s="168"/>
    </row>
    <row r="17" spans="1:12">
      <c r="A17" s="168" t="s">
        <v>170</v>
      </c>
      <c r="B17" s="168"/>
      <c r="C17" s="168"/>
      <c r="D17" s="168"/>
      <c r="E17" s="168"/>
      <c r="F17" s="168"/>
      <c r="G17" s="168"/>
      <c r="H17" s="168"/>
      <c r="I17" s="168"/>
      <c r="J17" s="168"/>
      <c r="K17" s="168"/>
      <c r="L17" s="168"/>
    </row>
    <row r="18" spans="1:12">
      <c r="A18" s="168" t="s">
        <v>171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</row>
    <row r="19" spans="1:12">
      <c r="A19" s="168" t="s">
        <v>172</v>
      </c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</row>
    <row r="20" spans="1:12">
      <c r="A20" s="168" t="s">
        <v>173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</row>
    <row r="21" spans="1:12">
      <c r="A21" s="168" t="s">
        <v>174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</row>
    <row r="22" spans="1:12">
      <c r="A22" s="168" t="s">
        <v>175</v>
      </c>
      <c r="B22" s="168"/>
      <c r="C22" s="168"/>
      <c r="D22" s="168"/>
      <c r="E22" s="168"/>
      <c r="F22" s="168"/>
      <c r="G22" s="168"/>
      <c r="H22" s="168"/>
      <c r="I22" s="168"/>
      <c r="J22" s="168"/>
      <c r="K22" s="168"/>
      <c r="L22" s="168"/>
    </row>
    <row r="23" spans="1:12">
      <c r="A23" s="168" t="s">
        <v>176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</row>
    <row r="25" spans="1:12" ht="71.25" customHeight="1">
      <c r="A25" s="169" t="s">
        <v>178</v>
      </c>
      <c r="B25" s="169"/>
      <c r="C25" s="169"/>
      <c r="D25" s="169"/>
      <c r="E25" s="169"/>
      <c r="F25" s="169"/>
      <c r="G25" s="169"/>
      <c r="H25" s="169"/>
      <c r="I25" s="169"/>
      <c r="J25" s="169"/>
      <c r="K25" s="169"/>
      <c r="L25" s="169"/>
    </row>
    <row r="26" spans="1:12" ht="32.25" customHeight="1">
      <c r="A26" s="169" t="s">
        <v>179</v>
      </c>
      <c r="B26" s="169"/>
      <c r="C26" s="169"/>
      <c r="D26" s="169"/>
      <c r="E26" s="169"/>
      <c r="F26" s="169"/>
      <c r="G26" s="169"/>
      <c r="H26" s="169"/>
      <c r="I26" s="169"/>
      <c r="J26" s="169"/>
      <c r="K26" s="169"/>
      <c r="L26" s="169"/>
    </row>
    <row r="27" spans="1:12">
      <c r="A27" t="s">
        <v>180</v>
      </c>
    </row>
    <row r="29" spans="1:12">
      <c r="A29" s="2" t="s">
        <v>184</v>
      </c>
    </row>
    <row r="30" spans="1:12">
      <c r="A30" t="s">
        <v>185</v>
      </c>
    </row>
    <row r="31" spans="1:12">
      <c r="A31" t="s">
        <v>186</v>
      </c>
    </row>
    <row r="32" spans="1:12">
      <c r="A32" t="s">
        <v>187</v>
      </c>
    </row>
    <row r="33" spans="1:14">
      <c r="A33" t="s">
        <v>188</v>
      </c>
    </row>
    <row r="35" spans="1:14">
      <c r="A35" s="2" t="s">
        <v>189</v>
      </c>
    </row>
    <row r="39" spans="1:14">
      <c r="A39" t="s">
        <v>267</v>
      </c>
    </row>
    <row r="40" spans="1:14" ht="44.25" customHeight="1">
      <c r="A40" s="165" t="s">
        <v>190</v>
      </c>
      <c r="B40" s="165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</row>
    <row r="41" spans="1:14">
      <c r="A41" t="s">
        <v>268</v>
      </c>
    </row>
    <row r="42" spans="1:14">
      <c r="A42" t="s">
        <v>269</v>
      </c>
    </row>
    <row r="44" spans="1:14">
      <c r="A44" s="2" t="s">
        <v>191</v>
      </c>
      <c r="D44" s="96">
        <f>180000*0.68+180000*6%*3.99</f>
        <v>165492</v>
      </c>
    </row>
    <row r="45" spans="1:14">
      <c r="A45" s="2" t="s">
        <v>192</v>
      </c>
      <c r="D45" s="96">
        <f>180000-D44</f>
        <v>14508</v>
      </c>
    </row>
    <row r="47" spans="1:14">
      <c r="A47" s="2" t="s">
        <v>193</v>
      </c>
    </row>
    <row r="48" spans="1:14">
      <c r="A48" t="s">
        <v>194</v>
      </c>
      <c r="E48" s="96">
        <v>180000</v>
      </c>
    </row>
    <row r="49" spans="1:14">
      <c r="A49" t="s">
        <v>195</v>
      </c>
      <c r="H49" s="96">
        <f>D44</f>
        <v>165492</v>
      </c>
    </row>
    <row r="50" spans="1:14">
      <c r="A50" t="s">
        <v>196</v>
      </c>
      <c r="H50" s="96">
        <f>D45</f>
        <v>14508</v>
      </c>
    </row>
    <row r="52" spans="1:14">
      <c r="A52" t="s">
        <v>197</v>
      </c>
    </row>
    <row r="53" spans="1:14">
      <c r="A53" t="s">
        <v>198</v>
      </c>
      <c r="J53" s="96">
        <f>H49+H49*8%-180000*6%</f>
        <v>167931.36</v>
      </c>
    </row>
    <row r="54" spans="1:14">
      <c r="A54" t="s">
        <v>270</v>
      </c>
      <c r="L54" s="161">
        <f>J53*8%</f>
        <v>13434.5088</v>
      </c>
    </row>
    <row r="56" spans="1:14">
      <c r="A56" s="2" t="s">
        <v>199</v>
      </c>
      <c r="B56" s="2"/>
      <c r="C56" s="2"/>
      <c r="D56" s="2"/>
      <c r="E56" s="2"/>
      <c r="F56" s="2"/>
      <c r="G56" s="2"/>
      <c r="H56" s="161">
        <f>J53+L54-180000*6%</f>
        <v>170565.8688</v>
      </c>
    </row>
    <row r="59" spans="1:14">
      <c r="A59" t="s">
        <v>200</v>
      </c>
    </row>
    <row r="60" spans="1:14">
      <c r="A60" s="2" t="s">
        <v>271</v>
      </c>
      <c r="D60" t="s">
        <v>201</v>
      </c>
    </row>
    <row r="62" spans="1:14" ht="27" customHeight="1">
      <c r="A62" s="2" t="s">
        <v>74</v>
      </c>
      <c r="C62" s="171" t="s">
        <v>202</v>
      </c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</row>
    <row r="63" spans="1:14" ht="6" customHeight="1"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</row>
    <row r="64" spans="1:14" hidden="1">
      <c r="C64" s="171"/>
      <c r="D64" s="171"/>
      <c r="E64" s="171"/>
      <c r="F64" s="171"/>
      <c r="G64" s="171"/>
      <c r="H64" s="171"/>
      <c r="I64" s="171"/>
      <c r="J64" s="171"/>
      <c r="K64" s="171"/>
      <c r="L64" s="171"/>
      <c r="M64" s="171"/>
      <c r="N64" s="171"/>
    </row>
    <row r="65" spans="1:14" hidden="1"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</row>
    <row r="66" spans="1:14">
      <c r="A66" s="2" t="s">
        <v>204</v>
      </c>
      <c r="B66" s="2"/>
      <c r="C66" s="2"/>
      <c r="D66" s="2"/>
      <c r="E66" s="2"/>
      <c r="F66" s="2">
        <f>200+50</f>
        <v>250</v>
      </c>
    </row>
    <row r="67" spans="1:14">
      <c r="A67" t="s">
        <v>272</v>
      </c>
      <c r="F67">
        <f>80000*0.05</f>
        <v>4000</v>
      </c>
      <c r="G67" s="48"/>
    </row>
    <row r="68" spans="1:14">
      <c r="A68" s="2" t="s">
        <v>203</v>
      </c>
      <c r="F68" s="161">
        <f>39000-F67</f>
        <v>35000</v>
      </c>
    </row>
    <row r="70" spans="1:14" ht="86.4">
      <c r="A70" s="4"/>
      <c r="B70" s="128" t="s">
        <v>206</v>
      </c>
      <c r="C70" s="128" t="s">
        <v>207</v>
      </c>
      <c r="D70" s="128" t="s">
        <v>208</v>
      </c>
      <c r="E70" s="4"/>
    </row>
    <row r="71" spans="1:14">
      <c r="A71" s="129">
        <v>43009</v>
      </c>
      <c r="B71" s="4">
        <v>200000</v>
      </c>
      <c r="C71" s="4"/>
      <c r="D71" s="4">
        <f>B71</f>
        <v>200000</v>
      </c>
      <c r="E71" s="4" t="s">
        <v>209</v>
      </c>
    </row>
    <row r="72" spans="1:14">
      <c r="A72" s="129">
        <v>43101</v>
      </c>
      <c r="B72" s="4">
        <f>D71</f>
        <v>200000</v>
      </c>
      <c r="C72" s="4">
        <v>50000</v>
      </c>
      <c r="D72" s="4">
        <f>B72+C72</f>
        <v>250000</v>
      </c>
      <c r="E72" s="4" t="s">
        <v>210</v>
      </c>
    </row>
    <row r="73" spans="1:14">
      <c r="A73" s="129">
        <v>43373</v>
      </c>
      <c r="B73" s="4">
        <f>D72</f>
        <v>250000</v>
      </c>
      <c r="C73" s="4"/>
      <c r="D73" s="4">
        <f>B73+C73</f>
        <v>250000</v>
      </c>
      <c r="E73" s="4"/>
    </row>
    <row r="75" spans="1:14">
      <c r="A75" s="2" t="s">
        <v>205</v>
      </c>
      <c r="B75" s="2"/>
      <c r="C75" s="2"/>
      <c r="D75" s="2"/>
      <c r="E75" s="2"/>
      <c r="F75" s="2"/>
      <c r="G75" s="2"/>
      <c r="H75" s="2"/>
      <c r="I75" s="2">
        <f>D71*3/12+D72*9/12</f>
        <v>237500</v>
      </c>
    </row>
    <row r="77" spans="1:14">
      <c r="A77" s="2" t="s">
        <v>211</v>
      </c>
      <c r="C77" s="162">
        <f>F68/I75</f>
        <v>0.14736842105263157</v>
      </c>
    </row>
    <row r="80" spans="1:14">
      <c r="A80" s="127" t="s">
        <v>213</v>
      </c>
    </row>
    <row r="81" spans="1:10">
      <c r="A81" s="167" t="s">
        <v>214</v>
      </c>
      <c r="B81" s="167"/>
      <c r="C81" s="167"/>
      <c r="D81" s="167"/>
      <c r="E81" s="167"/>
      <c r="F81" s="167"/>
      <c r="G81" s="167"/>
      <c r="H81" s="167"/>
      <c r="I81" s="167"/>
      <c r="J81" s="167"/>
    </row>
    <row r="82" spans="1:10">
      <c r="A82" s="167"/>
      <c r="B82" s="167"/>
      <c r="C82" s="167"/>
      <c r="D82" s="167"/>
      <c r="E82" s="167"/>
      <c r="F82" s="167"/>
      <c r="G82" s="167"/>
      <c r="H82" s="167"/>
      <c r="I82" s="167"/>
      <c r="J82" s="167"/>
    </row>
    <row r="83" spans="1:10">
      <c r="A83" s="167"/>
      <c r="B83" s="167"/>
      <c r="C83" s="167"/>
      <c r="D83" s="167"/>
      <c r="E83" s="167"/>
      <c r="F83" s="167"/>
      <c r="G83" s="167"/>
      <c r="H83" s="167"/>
      <c r="I83" s="167"/>
      <c r="J83" s="167"/>
    </row>
    <row r="85" spans="1:10">
      <c r="A85" t="s">
        <v>273</v>
      </c>
      <c r="F85" s="161">
        <f>L54*(1-0.2)</f>
        <v>10747.607040000001</v>
      </c>
    </row>
    <row r="86" spans="1:10">
      <c r="A86" s="2" t="s">
        <v>274</v>
      </c>
      <c r="B86" s="2"/>
      <c r="C86" s="2"/>
      <c r="D86" s="2"/>
      <c r="E86" s="2"/>
      <c r="F86" s="161">
        <f>F68+F85</f>
        <v>45747.607040000003</v>
      </c>
    </row>
    <row r="87" spans="1:10">
      <c r="A87" t="s">
        <v>275</v>
      </c>
      <c r="H87">
        <f>I75+100000</f>
        <v>337500</v>
      </c>
    </row>
    <row r="88" spans="1:10">
      <c r="A88" s="2" t="s">
        <v>212</v>
      </c>
      <c r="F88" s="162">
        <f>F86/H87</f>
        <v>0.13554846530370371</v>
      </c>
    </row>
  </sheetData>
  <mergeCells count="8">
    <mergeCell ref="A81:J83"/>
    <mergeCell ref="A2:L9"/>
    <mergeCell ref="A25:L25"/>
    <mergeCell ref="A26:L26"/>
    <mergeCell ref="A16:L23"/>
    <mergeCell ref="A11:L12"/>
    <mergeCell ref="C62:N65"/>
    <mergeCell ref="A40:N4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2"/>
  <sheetViews>
    <sheetView workbookViewId="0">
      <selection activeCell="C27" sqref="C27"/>
    </sheetView>
  </sheetViews>
  <sheetFormatPr defaultRowHeight="14.4"/>
  <sheetData>
    <row r="1" spans="1:14">
      <c r="A1" s="2" t="s">
        <v>29</v>
      </c>
    </row>
    <row r="3" spans="1:14">
      <c r="A3" s="2" t="s">
        <v>215</v>
      </c>
      <c r="E3" s="172" t="s">
        <v>216</v>
      </c>
      <c r="F3" s="172"/>
      <c r="G3" s="172"/>
      <c r="H3" s="172"/>
      <c r="I3" s="172"/>
      <c r="J3" s="172"/>
      <c r="K3" s="172"/>
      <c r="L3" s="172"/>
      <c r="M3" s="172"/>
    </row>
    <row r="4" spans="1:14">
      <c r="E4" s="124" t="s">
        <v>217</v>
      </c>
      <c r="F4" s="130"/>
      <c r="G4" s="130"/>
      <c r="H4" s="130"/>
      <c r="I4" s="130"/>
      <c r="J4" s="130"/>
      <c r="K4" s="130"/>
      <c r="L4" s="130"/>
      <c r="M4" s="130"/>
    </row>
    <row r="6" spans="1:14">
      <c r="A6" t="s">
        <v>218</v>
      </c>
    </row>
    <row r="7" spans="1:14">
      <c r="A7" s="165" t="s">
        <v>219</v>
      </c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</row>
    <row r="8" spans="1:14">
      <c r="A8" s="165"/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</row>
    <row r="9" spans="1:14">
      <c r="A9" s="165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1:14">
      <c r="A10" s="165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</row>
    <row r="11" spans="1:14">
      <c r="A11" s="165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</row>
    <row r="12" spans="1:14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</row>
    <row r="14" spans="1:14">
      <c r="A14" s="109" t="s">
        <v>220</v>
      </c>
      <c r="M14" s="131"/>
    </row>
    <row r="15" spans="1:14">
      <c r="A15" t="s">
        <v>221</v>
      </c>
    </row>
    <row r="18" spans="1:17">
      <c r="A18" s="2" t="s">
        <v>222</v>
      </c>
    </row>
    <row r="19" spans="1:17">
      <c r="A19" s="163" t="s">
        <v>282</v>
      </c>
    </row>
    <row r="20" spans="1:17">
      <c r="A20" t="s">
        <v>283</v>
      </c>
    </row>
    <row r="21" spans="1:17">
      <c r="A21" s="165" t="s">
        <v>285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</row>
    <row r="22" spans="1:17">
      <c r="A22" s="165"/>
      <c r="B22" s="165"/>
      <c r="C22" s="165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</row>
    <row r="23" spans="1:17">
      <c r="A23" s="165"/>
      <c r="B23" s="165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</row>
    <row r="24" spans="1:17">
      <c r="A24" t="s">
        <v>284</v>
      </c>
    </row>
    <row r="26" spans="1:17">
      <c r="A26" s="2" t="s">
        <v>223</v>
      </c>
    </row>
    <row r="27" spans="1:17" ht="67.5" customHeight="1">
      <c r="A27" t="s">
        <v>278</v>
      </c>
    </row>
    <row r="29" spans="1:17">
      <c r="A29" t="s">
        <v>279</v>
      </c>
    </row>
    <row r="30" spans="1:17">
      <c r="A30" t="s">
        <v>280</v>
      </c>
    </row>
    <row r="31" spans="1:17">
      <c r="A31" t="s">
        <v>281</v>
      </c>
    </row>
    <row r="35" spans="1:13">
      <c r="A35" s="165" t="s">
        <v>277</v>
      </c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  <c r="M35" s="165"/>
    </row>
    <row r="37" spans="1:13">
      <c r="A37" s="167" t="s">
        <v>276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</row>
    <row r="38" spans="1:13">
      <c r="A38" s="167"/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</row>
    <row r="39" spans="1:13">
      <c r="A39" s="167"/>
      <c r="B39" s="167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</row>
    <row r="40" spans="1:13">
      <c r="A40" s="167"/>
      <c r="B40" s="167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</row>
    <row r="41" spans="1:13">
      <c r="A41" s="167"/>
      <c r="B41" s="167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</row>
    <row r="42" spans="1:13">
      <c r="A42" s="167"/>
      <c r="B42" s="167"/>
      <c r="C42" s="167"/>
      <c r="D42" s="167"/>
      <c r="E42" s="167"/>
      <c r="F42" s="167"/>
      <c r="G42" s="167"/>
      <c r="H42" s="167"/>
      <c r="I42" s="167"/>
      <c r="J42" s="167"/>
      <c r="K42" s="167"/>
      <c r="L42" s="167"/>
      <c r="M42" s="167"/>
    </row>
  </sheetData>
  <mergeCells count="5">
    <mergeCell ref="E3:M3"/>
    <mergeCell ref="A7:N12"/>
    <mergeCell ref="A21:Q23"/>
    <mergeCell ref="A37:M42"/>
    <mergeCell ref="A35:M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КОНСОЛИДАЦИЯ ОФП</vt:lpstr>
      <vt:lpstr>Вопрос 2</vt:lpstr>
      <vt:lpstr>Вопрос 3</vt:lpstr>
      <vt:lpstr>Вопрос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2018-12-15T15:14:34Z</dcterms:modified>
</cp:coreProperties>
</file>